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roton Drive\My files\Projetos\ObenTech\ObenPlatform\web\public\modelos\"/>
    </mc:Choice>
  </mc:AlternateContent>
  <xr:revisionPtr revIDLastSave="0" documentId="8_{812D1FA6-E91C-48CE-83C6-836CBC6CF67D}" xr6:coauthVersionLast="47" xr6:coauthVersionMax="47" xr10:uidLastSave="{00000000-0000-0000-0000-000000000000}"/>
  <bookViews>
    <workbookView xWindow="-28920" yWindow="15" windowWidth="29040" windowHeight="15840" xr2:uid="{BA8FF780-04E1-435F-BB1E-E4C529301D73}"/>
  </bookViews>
  <sheets>
    <sheet name="Inicio" sheetId="1" r:id="rId1"/>
    <sheet name="Premissas" sheetId="2" r:id="rId2"/>
    <sheet name="Historico" sheetId="3" r:id="rId3"/>
    <sheet name="Projecao" sheetId="4" r:id="rId4"/>
    <sheet name="Sensibilidade" sheetId="5" r:id="rId5"/>
    <sheet name="DRE" sheetId="6" r:id="rId6"/>
    <sheet name="Passivo" sheetId="7" r:id="rId7"/>
    <sheet name="Ativo" sheetId="8" r:id="rId8"/>
    <sheet name="Caixa" sheetId="9" r:id="rId9"/>
    <sheet name="Mercado" sheetId="10" r:id="rId10"/>
  </sheets>
  <calcPr fullCalcOnLoad="1"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C12" i="5" l="1"/>
  <c r="C11" i="5"/>
  <c r="C10" i="5"/>
  <c r="C9" i="5"/>
  <c r="C8" i="5"/>
  <c r="H7" i="5"/>
  <c r="G7" i="5"/>
  <c r="F7" i="5"/>
  <c r="E7" i="5"/>
  <c r="D7" i="5"/>
  <c r="H14" i="4"/>
  <c r="G14" i="4"/>
  <c r="F14" i="4"/>
  <c r="E14" i="4"/>
  <c r="D14" i="4"/>
  <c r="D23" i="2"/>
  <c r="D20" i="2"/>
  <c r="D7" i="3"/>
  <c r="B13" i="10" a="1"/>
  <c r="D8" i="1" s="1"/>
  <c r="B9" i="10" a="1"/>
  <c r="D30" i="3" s="1"/>
  <c r="J19" i="2" s="1"/>
  <c r="D6" i="10"/>
  <c r="D5" i="10"/>
  <c r="D28" i="4" s="1"/>
  <c r="B5" i="9" a="1"/>
  <c r="B5" i="7" a="1"/>
  <c r="B5" i="8" a="1"/>
  <c r="B5" i="6" a="1"/>
  <c r="D12" i="1" l="1"/>
  <c r="D29" i="3"/>
  <c r="D25" i="4" s="1"/>
  <c r="J5" i="3" a="1"/>
  <c r="K5" i="3" a="1"/>
  <c r="H5" i="3" a="1"/>
  <c r="I5" i="3" a="1"/>
  <c r="F5" i="3" a="1"/>
  <c r="G5" i="3" a="1"/>
  <c r="D5" i="3" a="1"/>
  <c r="E5" i="3" a="1"/>
  <c r="D23" i="3" l="1" a="1"/>
  <c r="D23" i="4" s="1"/>
  <c r="D22" i="3" a="1"/>
  <c r="C6" i="4" s="1"/>
  <c r="D6" i="4" s="1"/>
  <c r="E6" i="4" s="1"/>
  <c r="F6" i="4" s="1"/>
  <c r="G6" i="4" s="1"/>
  <c r="H6" i="4" s="1"/>
  <c r="D21" i="3" a="1"/>
  <c r="J18" i="3" a="1"/>
  <c r="J19" i="3"/>
  <c r="K18" i="3" a="1"/>
  <c r="K19" i="3"/>
  <c r="H18" i="3" a="1"/>
  <c r="H19" i="3"/>
  <c r="I18" i="3" a="1"/>
  <c r="I19" i="3"/>
  <c r="F18" i="3" a="1"/>
  <c r="F19" i="3"/>
  <c r="G18" i="3" a="1"/>
  <c r="G19" i="3"/>
  <c r="D18" i="3" a="1"/>
  <c r="D19" i="3"/>
  <c r="E18" i="3" a="1"/>
  <c r="E19" i="3"/>
  <c r="J16" i="3"/>
  <c r="J17" i="3" a="1"/>
  <c r="K16" i="3"/>
  <c r="K17" i="3" a="1"/>
  <c r="H16" i="3"/>
  <c r="H17" i="3" a="1"/>
  <c r="I16" i="3"/>
  <c r="I17" i="3" a="1"/>
  <c r="F16" i="3"/>
  <c r="F17" i="3" a="1"/>
  <c r="G16" i="3"/>
  <c r="G17" i="3" a="1"/>
  <c r="D16" i="3"/>
  <c r="D17" i="3" a="1"/>
  <c r="E16" i="3"/>
  <c r="E17" i="3" a="1"/>
  <c r="J14" i="3"/>
  <c r="J15" i="3" a="1"/>
  <c r="K14" i="3"/>
  <c r="K15" i="3" a="1"/>
  <c r="H14" i="3"/>
  <c r="H15" i="3" a="1"/>
  <c r="I14" i="3"/>
  <c r="I15" i="3" a="1"/>
  <c r="F14" i="3"/>
  <c r="F15" i="3" a="1"/>
  <c r="G14" i="3"/>
  <c r="G15" i="3" a="1"/>
  <c r="D14" i="3"/>
  <c r="D15" i="3" a="1"/>
  <c r="E14" i="3"/>
  <c r="E15" i="3" a="1"/>
  <c r="J12" i="3"/>
  <c r="J13" i="3" a="1"/>
  <c r="K12" i="3"/>
  <c r="K13" i="3" a="1"/>
  <c r="H12" i="3"/>
  <c r="H13" i="3" a="1"/>
  <c r="I12" i="3"/>
  <c r="I13" i="3" a="1"/>
  <c r="F12" i="3"/>
  <c r="F13" i="3" a="1"/>
  <c r="G12" i="3"/>
  <c r="G13" i="3" a="1"/>
  <c r="D12" i="3"/>
  <c r="D13" i="3" a="1"/>
  <c r="E12" i="3"/>
  <c r="E13" i="3" a="1"/>
  <c r="J10" i="3" a="1"/>
  <c r="J11" i="3" a="1"/>
  <c r="K10" i="3" a="1"/>
  <c r="K11" i="3" a="1"/>
  <c r="H10" i="3" a="1"/>
  <c r="H11" i="3" a="1"/>
  <c r="I10" i="3" a="1"/>
  <c r="I11" i="3" a="1"/>
  <c r="F10" i="3" a="1"/>
  <c r="F11" i="3" a="1"/>
  <c r="G10" i="3" a="1"/>
  <c r="G11" i="3" a="1"/>
  <c r="D10" i="3" a="1"/>
  <c r="D11" i="3" a="1"/>
  <c r="E10" i="3" a="1"/>
  <c r="E11" i="3" a="1"/>
  <c r="J8" i="3" a="1"/>
  <c r="J9" i="3"/>
  <c r="K8" i="3" a="1"/>
  <c r="K9" i="3"/>
  <c r="H8" i="3" a="1"/>
  <c r="H9" i="3"/>
  <c r="I8" i="3" a="1"/>
  <c r="I9" i="3"/>
  <c r="F8" i="3" a="1"/>
  <c r="F9" i="3"/>
  <c r="G8" i="3" a="1"/>
  <c r="G9" i="3"/>
  <c r="D8" i="3" a="1"/>
  <c r="D9" i="3"/>
  <c r="E8" i="3" a="1"/>
  <c r="E9" i="3"/>
  <c r="J6" i="3" a="1"/>
  <c r="J7" i="3"/>
  <c r="K6" i="3" a="1"/>
  <c r="K7" i="3"/>
  <c r="H6" i="3" a="1"/>
  <c r="H7" i="3"/>
  <c r="I6" i="3" a="1"/>
  <c r="I7" i="3"/>
  <c r="F6" i="3" a="1"/>
  <c r="F7" i="3"/>
  <c r="G6" i="3" a="1"/>
  <c r="G7" i="3"/>
  <c r="D6" i="3" a="1"/>
  <c r="E6" i="3" a="1"/>
  <c r="E7" i="3"/>
  <c r="H11" i="4" l="1"/>
  <c r="H12" i="4"/>
  <c r="H7" i="4"/>
  <c r="H10" i="4"/>
  <c r="G5" i="4"/>
  <c r="H5" i="4"/>
  <c r="G11" i="4"/>
  <c r="G12" i="4"/>
  <c r="G7" i="4"/>
  <c r="G10" i="4"/>
  <c r="F11" i="4"/>
  <c r="F12" i="4"/>
  <c r="F7" i="4"/>
  <c r="F8" i="4" s="1"/>
  <c r="F9" i="4" s="1"/>
  <c r="F10" i="4"/>
  <c r="E5" i="4"/>
  <c r="F5" i="4"/>
  <c r="E11" i="4"/>
  <c r="E12" i="4"/>
  <c r="E7" i="4"/>
  <c r="E10" i="4"/>
  <c r="D11" i="4"/>
  <c r="D12" i="4"/>
  <c r="D7" i="4"/>
  <c r="D8" i="4" s="1"/>
  <c r="D9" i="4" s="1"/>
  <c r="D10" i="4"/>
  <c r="B6" i="2"/>
  <c r="B14" i="1" s="1"/>
  <c r="D5" i="4"/>
  <c r="D28" i="3" a="1"/>
  <c r="J12" i="2" s="1"/>
  <c r="D27" i="3" a="1"/>
  <c r="J11" i="2" s="1"/>
  <c r="D26" i="3" a="1"/>
  <c r="J16" i="2" s="1"/>
  <c r="D25" i="3" a="1"/>
  <c r="J10" i="2" s="1"/>
  <c r="D24" i="3" a="1"/>
  <c r="J9" i="2" s="1"/>
  <c r="H8" i="4" l="1"/>
  <c r="H9" i="4" s="1"/>
  <c r="H13" i="4" s="1"/>
  <c r="G8" i="4"/>
  <c r="G9" i="4" s="1"/>
  <c r="G13" i="4" s="1"/>
  <c r="G15" i="4" s="1"/>
  <c r="F13" i="4"/>
  <c r="F15" i="4" s="1"/>
  <c r="E8" i="4"/>
  <c r="E9" i="4" s="1"/>
  <c r="E13" i="4" s="1"/>
  <c r="E15" i="4" s="1"/>
  <c r="D13" i="4"/>
  <c r="G12" i="5" l="1" a="1"/>
  <c r="H12" i="5" a="1"/>
  <c r="E12" i="5" a="1"/>
  <c r="F12" i="5" a="1"/>
  <c r="H11" i="5" a="1"/>
  <c r="D12" i="5" a="1"/>
  <c r="F11" i="5" a="1"/>
  <c r="G11" i="5" a="1"/>
  <c r="D11" i="5" a="1"/>
  <c r="E11" i="5" a="1"/>
  <c r="G10" i="5" a="1"/>
  <c r="H10" i="5" a="1"/>
  <c r="E10" i="5" a="1"/>
  <c r="F10" i="5" a="1"/>
  <c r="H9" i="5" a="1"/>
  <c r="D10" i="5" a="1"/>
  <c r="F9" i="5" a="1"/>
  <c r="G9" i="5" a="1"/>
  <c r="D9" i="5" a="1"/>
  <c r="E9" i="5" a="1"/>
  <c r="G8" i="5" a="1"/>
  <c r="H8" i="5" a="1"/>
  <c r="E8" i="5" a="1"/>
  <c r="F8" i="5" a="1"/>
  <c r="D15" i="4"/>
  <c r="D18" i="4" s="1"/>
  <c r="D8" i="5" a="1"/>
  <c r="H15" i="4"/>
  <c r="D19" i="4"/>
  <c r="D20" i="4" s="1"/>
  <c r="D21" i="4" l="1"/>
  <c r="D22" i="4" l="1"/>
  <c r="D24" i="4"/>
  <c r="D27" i="4" s="1"/>
  <c r="D11" i="1" l="1"/>
  <c r="D13" i="1" s="1"/>
  <c r="D29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<sst xmlns="http://schemas.openxmlformats.org/spreadsheetml/2006/main" count="146" uniqueCount="121">
  <si>
    <t>fintay</t>
  </si>
  <si>
    <t>Valuation por fluxo de caixa descontado</t>
  </si>
  <si>
    <t>Histórico conectado, projeção de cinco anos, perpetuidade e sensibilidade.</t>
  </si>
  <si>
    <t>Comece aqui</t>
  </si>
  <si>
    <t>Empresa (ticker)</t>
  </si>
  <si>
    <t>WEGE3</t>
  </si>
  <si>
    <t>Anos de histórico</t>
  </si>
  <si>
    <t>Troque o ticker e clique em Fintay &gt; Atualizar dados.</t>
  </si>
  <si>
    <t>Empresa</t>
  </si>
  <si>
    <t>Resultado</t>
  </si>
  <si>
    <t>Valor por ação (R$)</t>
  </si>
  <si>
    <t>Último fechamento (R$)</t>
  </si>
  <si>
    <t>Diferença</t>
  </si>
  <si>
    <t>Como usar</t>
  </si>
  <si>
    <t>1. Instale o suplemento Fintay para Excel e entre na sua conta (guia Fintay &gt; Entrar).</t>
  </si>
  <si>
    <t>2. Escreva o ticker na célula amarela. O histórico é carregado nas abas azuis e resumido em Historico.</t>
  </si>
  <si>
    <t>3. Em Premissas, ajuste crescimento, margem, investimento, impostos e taxa de desconto. A coluna de referência mostra o histórico da empresa.</t>
  </si>
  <si>
    <t>4. Veja o resultado em Projecao e o efeito de taxa de desconto e crescimento perpétuo em Sensibilidade.</t>
  </si>
  <si>
    <t>5. Salve uma cópia com outro nome para guardar o seu cenário.</t>
  </si>
  <si>
    <t>Legenda</t>
  </si>
  <si>
    <t>Dados conectados</t>
  </si>
  <si>
    <t>Vêm da Fintay e mudam quando você clica em Fintay &gt; Atualizar dados.</t>
  </si>
  <si>
    <t>Suas entradas</t>
  </si>
  <si>
    <t>Ticker, datas e premissas. Atualizar os dados nunca sobrescreve estas células.</t>
  </si>
  <si>
    <t>Resultados</t>
  </si>
  <si>
    <t>Calculados a partir dos dados e das suas entradas.</t>
  </si>
  <si>
    <t>Fontes, unidades e limites</t>
  </si>
  <si>
    <t>Demonstrações anuais consolidadas entregues à CVM, em R$ milhões. Ações em circulação estimadas por valor de mercado / último fechamento.</t>
  </si>
  <si>
    <t>O fluxo de caixa livre usa o caixa de investimentos como aproximação do investimento em capital. Não se aplica a bancos e seguradoras.</t>
  </si>
  <si>
    <t>Atualizar os dados muda o histórico e a cotação, nunca as premissas. Quando chega um exercício novo, o aviso acima indica que vale revisar o cenário.</t>
  </si>
  <si>
    <t>Informativo. Não constitui recomendação de investimento.</t>
  </si>
  <si>
    <t>Demonstração do resultado</t>
  </si>
  <si>
    <t>DRE anual consolidada, R$ milhões.</t>
  </si>
  <si>
    <t>Dados conectados. Não edite esta aba: as outras abas leem daqui.</t>
  </si>
  <si>
    <t>Balanço patrimonial: ativo</t>
  </si>
  <si>
    <t>Balanço anual consolidado, R$ milhões.</t>
  </si>
  <si>
    <t>Balanço patrimonial: passivo e PL</t>
  </si>
  <si>
    <t>Fluxo de caixa (método indireto)</t>
  </si>
  <si>
    <t>DFC anual consolidada, R$ milhões.</t>
  </si>
  <si>
    <t>Dados de mercado</t>
  </si>
  <si>
    <t>Último fechamento e valor de mercado.</t>
  </si>
  <si>
    <t>Dados conectados. Não edite esta aba.</t>
  </si>
  <si>
    <t>Data do fechamento</t>
  </si>
  <si>
    <t>Fundamentos</t>
  </si>
  <si>
    <t>Perfil</t>
  </si>
  <si>
    <t>Histórico</t>
  </si>
  <si>
    <t>Base da projeção. R$ milhões.</t>
  </si>
  <si>
    <t>Exercício</t>
  </si>
  <si>
    <t>Receita líquida</t>
  </si>
  <si>
    <t>Crescimento da receita</t>
  </si>
  <si>
    <t>EBIT</t>
  </si>
  <si>
    <t>Margem EBIT</t>
  </si>
  <si>
    <t>Lucro antes do IR</t>
  </si>
  <si>
    <t>IR e contribuição social</t>
  </si>
  <si>
    <t>Alíquota efetiva</t>
  </si>
  <si>
    <t>Depreciação e amortização</t>
  </si>
  <si>
    <t>D&amp;A / receita</t>
  </si>
  <si>
    <t>Caixa de investimentos</t>
  </si>
  <si>
    <t>Investimento / receita</t>
  </si>
  <si>
    <t>Caixa e aplicações</t>
  </si>
  <si>
    <t>Dívida bruta</t>
  </si>
  <si>
    <t>Dívida líquida</t>
  </si>
  <si>
    <t>Último exercício</t>
  </si>
  <si>
    <t>Receita do último exercício</t>
  </si>
  <si>
    <t>Dívida líquida do último exercício</t>
  </si>
  <si>
    <t>Crescimento médio da receita</t>
  </si>
  <si>
    <t>Margem EBIT média</t>
  </si>
  <si>
    <t>Alíquota efetiva média</t>
  </si>
  <si>
    <t>D&amp;A / receita médio</t>
  </si>
  <si>
    <t>Investimento / receita médio</t>
  </si>
  <si>
    <t>Ações em circulação (milhões)</t>
  </si>
  <si>
    <t>Beta</t>
  </si>
  <si>
    <t>Premissas</t>
  </si>
  <si>
    <t>Suas hipóteses. Atualizar os dados nunca altera estas células.</t>
  </si>
  <si>
    <t>Exercício-base do seu cenário</t>
  </si>
  <si>
    <t>Ano do último exercício quando você montou as premissas.</t>
  </si>
  <si>
    <t>Operação</t>
  </si>
  <si>
    <t>Ano 1</t>
  </si>
  <si>
    <t>Ano 2</t>
  </si>
  <si>
    <t>Ano 3</t>
  </si>
  <si>
    <t>Ano 4</t>
  </si>
  <si>
    <t>Ano 5</t>
  </si>
  <si>
    <t>Referência histórica</t>
  </si>
  <si>
    <t>Capital de giro / receita adicional</t>
  </si>
  <si>
    <t>Impostos e desconto</t>
  </si>
  <si>
    <t>Alíquota de IR sobre o EBIT</t>
  </si>
  <si>
    <t>Taxa livre de risco (nominal)</t>
  </si>
  <si>
    <t>Prêmio de risco de mercado</t>
  </si>
  <si>
    <t>Custo do capital próprio</t>
  </si>
  <si>
    <t>Custo da dívida antes do IR</t>
  </si>
  <si>
    <t>Peso da dívida no capital</t>
  </si>
  <si>
    <t>Taxa de desconto (WACC)</t>
  </si>
  <si>
    <t>Crescimento na perpetuidade</t>
  </si>
  <si>
    <t>A coluna de referência mostra a média do histórico carregado e muda quando os dados mudam. As premissas em amarelo são suas e ficam como estão.</t>
  </si>
  <si>
    <t>O crescimento na perpetuidade precisa ficar abaixo da taxa de desconto.</t>
  </si>
  <si>
    <t>Projeção</t>
  </si>
  <si>
    <t>Fluxo de caixa livre da firma, valor presente e valor por ação. R$ milhões.</t>
  </si>
  <si>
    <t>Base</t>
  </si>
  <si>
    <t>(-) IR sobre o EBIT</t>
  </si>
  <si>
    <t>EBIT após impostos</t>
  </si>
  <si>
    <t>(+) Depreciação e amortização</t>
  </si>
  <si>
    <t>(-) Investimento</t>
  </si>
  <si>
    <t>(-) Capital de giro</t>
  </si>
  <si>
    <t>Fluxo de caixa livre da firma</t>
  </si>
  <si>
    <t>Fator de desconto</t>
  </si>
  <si>
    <t>Valor presente do fluxo</t>
  </si>
  <si>
    <t>Valor</t>
  </si>
  <si>
    <t>Soma dos fluxos descontados</t>
  </si>
  <si>
    <t>Valor terminal (perpetuidade)</t>
  </si>
  <si>
    <t>Valor terminal descontado</t>
  </si>
  <si>
    <t>Valor da firma</t>
  </si>
  <si>
    <t>Peso do valor terminal</t>
  </si>
  <si>
    <t>(-) Dívida líquida ou (+) caixa líquido</t>
  </si>
  <si>
    <t>Valor do patrimônio</t>
  </si>
  <si>
    <t>Diferença para o preço</t>
  </si>
  <si>
    <t>Sensibilidade</t>
  </si>
  <si>
    <t>Valor por ação (R$) para combinações de taxa de desconto e crescimento perpétuo.</t>
  </si>
  <si>
    <t>Passo da taxa de desconto</t>
  </si>
  <si>
    <t>Passo do crescimento perpétuo</t>
  </si>
  <si>
    <t>WACC \ crescimento</t>
  </si>
  <si>
    <t>O centro da tabela usa as suas premissas. Combinações com crescimento igual ou maior que a taxa ficam vazias.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</si>
</sst>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;[Red]\-0.0%"/>
    <numFmt numFmtId="165" formatCode="#,##0.0;[Red]\-#,##0.0"/>
    <numFmt numFmtId="166" formatCode="dd/mm/yyyy"/>
    <numFmt numFmtId="167" formatCode="#,##0.0"/>
    <numFmt numFmtId="168" formatCode="0.000"/>
  </numFmts>
  <fonts count="14" x14ac:knownFonts="1">
    <font>
      <sz val="8"/>
      <color theme="1"/>
      <name val="Montserrat"/>
      <family val="2"/>
    </font>
    <font>
      <sz val="10"/>
      <color theme="1"/>
      <name val="Segoe UI"/>
      <family val="2"/>
    </font>
    <font>
      <b/>
      <sz val="10"/>
      <color rgb="FF4A9EE8"/>
      <name val="Segoe UI"/>
      <family val="2"/>
    </font>
    <font>
      <b/>
      <sz val="13"/>
      <color rgb="FFFFFFFF"/>
      <name val="Segoe UI"/>
      <family val="2"/>
    </font>
    <font>
      <sz val="10"/>
      <color rgb="FFAAB9CD"/>
      <name val="Segoe UI"/>
      <family val="2"/>
    </font>
    <font>
      <b/>
      <sz val="10"/>
      <color theme="1"/>
      <name val="Segoe UI"/>
      <family val="2"/>
    </font>
    <font>
      <b/>
      <sz val="10"/>
      <color rgb="FF2D7DD2"/>
      <name val="Segoe UI"/>
      <family val="2"/>
    </font>
    <font>
      <b/>
      <sz val="10"/>
      <color rgb="FF3C2D00"/>
      <name val="Segoe UI"/>
      <family val="2"/>
    </font>
    <font>
      <sz val="9"/>
      <color rgb="FF6E7887"/>
      <name val="Segoe UI"/>
      <family val="2"/>
    </font>
    <font>
      <sz val="10"/>
      <color rgb="FF164682"/>
      <name val="Segoe UI"/>
      <family val="2"/>
    </font>
    <font>
      <sz val="10"/>
      <color rgb="FF14502D"/>
      <name val="Segoe UI"/>
      <family val="2"/>
    </font>
    <font>
      <b/>
      <sz val="10"/>
      <color rgb="FFB45A00"/>
      <name val="Segoe UI"/>
      <family val="2"/>
    </font>
    <font>
      <b/>
      <sz val="10"/>
      <color rgb="FF14502D"/>
      <name val="Segoe UI"/>
      <family val="2"/>
    </font>
    <font>
      <b/>
      <sz val="12"/>
      <color rgb="FF14502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F1B2D"/>
        <bgColor indexed="64"/>
      </patternFill>
    </fill>
    <fill>
      <patternFill patternType="solid">
        <fgColor rgb="FFFFF4C2"/>
        <bgColor indexed="64"/>
      </patternFill>
    </fill>
    <fill>
      <patternFill patternType="solid">
        <fgColor rgb="FFDCEBFA"/>
        <bgColor indexed="64"/>
      </patternFill>
    </fill>
    <fill>
      <patternFill patternType="solid">
        <fgColor rgb="FFE2F2E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D7DCE4"/>
      </bottom>
      <diagonal/>
    </border>
    <border>
      <left/>
      <right/>
      <top style="thin">
        <color rgb="FFD7DCE4"/>
      </top>
      <bottom style="thin">
        <color rgb="FFD7DCE4"/>
      </bottom>
      <diagonal/>
    </border>
    <border>
      <left/>
      <right/>
      <top style="thin">
        <color rgb="FFD7DCE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0" borderId="0" xfId="0" applyFont="1"/>
    <xf numFmtId="0" fontId="6" fillId="0" borderId="1" xfId="0" applyFont="1" applyBorder="1"/>
    <xf numFmtId="0" fontId="7" fillId="3" borderId="0" xfId="0" applyFont="1" applyFill="1"/>
    <xf numFmtId="0" fontId="8" fillId="0" borderId="0" xfId="0" applyFont="1"/>
    <xf numFmtId="0" fontId="9" fillId="4" borderId="0" xfId="0" applyFont="1" applyFill="1"/>
    <xf numFmtId="0" fontId="10" fillId="5" borderId="0" xfId="0" applyFont="1" applyFill="1"/>
    <xf numFmtId="4" fontId="10" fillId="5" borderId="0" xfId="0" applyNumberFormat="1" applyFont="1" applyFill="1"/>
    <xf numFmtId="4" fontId="9" fillId="4" borderId="0" xfId="0" applyNumberFormat="1" applyFont="1" applyFill="1"/>
    <xf numFmtId="164" fontId="10" fillId="5" borderId="0" xfId="0" applyNumberFormat="1" applyFont="1" applyFill="1"/>
    <xf numFmtId="0" fontId="11" fillId="0" borderId="0" xfId="0" applyFont="1"/>
    <xf numFmtId="165" fontId="1" fillId="2" borderId="0" xfId="0" applyNumberFormat="1" applyFont="1" applyFill="1"/>
    <xf numFmtId="165" fontId="1" fillId="0" borderId="0" xfId="0" applyNumberFormat="1" applyFont="1"/>
    <xf numFmtId="166" fontId="9" fillId="4" borderId="0" xfId="0" applyNumberFormat="1" applyFont="1" applyFill="1"/>
    <xf numFmtId="1" fontId="6" fillId="0" borderId="1" xfId="0" applyNumberFormat="1" applyFont="1" applyBorder="1"/>
    <xf numFmtId="165" fontId="9" fillId="4" borderId="0" xfId="0" applyNumberFormat="1" applyFont="1" applyFill="1"/>
    <xf numFmtId="165" fontId="10" fillId="5" borderId="0" xfId="0" applyNumberFormat="1" applyFont="1" applyFill="1"/>
    <xf numFmtId="1" fontId="10" fillId="5" borderId="0" xfId="0" applyNumberFormat="1" applyFont="1" applyFill="1"/>
    <xf numFmtId="167" fontId="10" fillId="5" borderId="0" xfId="0" applyNumberFormat="1" applyFont="1" applyFill="1"/>
    <xf numFmtId="2" fontId="10" fillId="5" borderId="0" xfId="0" applyNumberFormat="1" applyFont="1" applyFill="1"/>
    <xf numFmtId="1" fontId="7" fillId="3" borderId="0" xfId="0" applyNumberFormat="1" applyFont="1" applyFill="1"/>
    <xf numFmtId="164" fontId="7" fillId="3" borderId="0" xfId="0" applyNumberFormat="1" applyFont="1" applyFill="1"/>
    <xf numFmtId="2" fontId="7" fillId="3" borderId="0" xfId="0" applyNumberFormat="1" applyFont="1" applyFill="1"/>
    <xf numFmtId="168" fontId="10" fillId="5" borderId="0" xfId="0" applyNumberFormat="1" applyFont="1" applyFill="1"/>
    <xf numFmtId="165" fontId="12" fillId="5" borderId="0" xfId="0" applyNumberFormat="1" applyFont="1" applyFill="1"/>
    <xf numFmtId="167" fontId="9" fillId="4" borderId="0" xfId="0" applyNumberFormat="1" applyFont="1" applyFill="1"/>
    <xf numFmtId="4" fontId="13" fillId="5" borderId="0" xfId="0" applyNumberFormat="1" applyFont="1" applyFill="1"/>
    <xf numFmtId="164" fontId="6" fillId="0" borderId="1" xfId="0" applyNumberFormat="1" applyFont="1" applyBorder="1"/>
    <xf numFmtId="164" fontId="6" fillId="0" borderId="0" xfId="0" applyNumberFormat="1" applyFont="1" applyBorder="1"/>
    <xf numFmtId="164" fontId="6" fillId="0" borderId="2" xfId="0" applyNumberFormat="1" applyFont="1" applyBorder="1"/>
    <xf numFmtId="164" fontId="6" fillId="0" borderId="3" xfId="0" applyNumberFormat="1" applyFont="1" applyBorder="1"/>
    <xf numFmtId="4" fontId="12" fillId="5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8AD14-303D-42DE-945D-058F2E90B8F3}">
  <dimension ref="A1:L32"/>
  <sheetViews>
    <sheetView showGridLines="0" tabSelected="1" workbookViewId="0"/>
  </sheetViews>
  <sheetFormatPr defaultRowHeight="14.25" x14ac:dyDescent="0.25"/>
  <cols>
    <col min="1" max="1" width="2.7109375" style="1" customWidth="1"/>
    <col min="2" max="2" width="24.7109375" style="1" customWidth="1"/>
    <col min="3" max="3" width="2.7109375" style="1" customWidth="1"/>
    <col min="4" max="4" width="18.7109375" style="1" customWidth="1"/>
    <col min="5" max="16384" width="9.140625" style="1"/>
  </cols>
  <sheetData>
    <row r="1" spans="1:12" ht="24" customHeight="1" x14ac:dyDescent="0.35">
      <c r="A1" s="2"/>
      <c r="B1" s="3" t="s">
        <v>0</v>
      </c>
      <c r="C1" s="4" t="s">
        <v>1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2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7" t="s">
        <v>3</v>
      </c>
    </row>
    <row r="6" spans="1:12" x14ac:dyDescent="0.25">
      <c r="B6" s="1" t="s">
        <v>4</v>
      </c>
      <c r="D6" s="8" t="s">
        <v>5</v>
      </c>
      <c r="E6" s="9" t="s">
        <v>7</v>
      </c>
    </row>
    <row r="7" spans="1:12" x14ac:dyDescent="0.25">
      <c r="B7" s="1" t="s">
        <v>6</v>
      </c>
      <c r="D7" s="8">
        <v>5</v>
      </c>
    </row>
    <row r="8" spans="1:12" x14ac:dyDescent="0.25">
      <c r="B8" s="1" t="s">
        <v>8</v>
      </c>
      <c r="D8" s="10" t="str">
        <f ca="1">IFERROR(INDEX(_xlfn.ANCHORARRAY(Mercado!$B$13),2,MATCH("long_name",INDEX(_xlfn.ANCHORARRAY(Mercado!$B$13),1,0),0)),"")</f>
        <v/>
      </c>
    </row>
    <row r="10" spans="1:12" x14ac:dyDescent="0.25">
      <c r="B10" s="7" t="s">
        <v>9</v>
      </c>
    </row>
    <row r="11" spans="1:12" x14ac:dyDescent="0.25">
      <c r="B11" s="1" t="s">
        <v>10</v>
      </c>
      <c r="D11" s="12" t="str">
        <f ca="1">Projecao!$D$27</f>
        <v/>
      </c>
    </row>
    <row r="12" spans="1:12" x14ac:dyDescent="0.25">
      <c r="B12" s="1" t="s">
        <v>11</v>
      </c>
      <c r="D12" s="13" t="str">
        <f ca="1">Mercado!$D$5</f>
        <v/>
      </c>
    </row>
    <row r="13" spans="1:12" x14ac:dyDescent="0.25">
      <c r="B13" s="1" t="s">
        <v>12</v>
      </c>
      <c r="D13" s="14" t="str">
        <f ca="1">IFERROR(D11/D12-1,"")</f>
        <v/>
      </c>
    </row>
    <row r="14" spans="1:12" x14ac:dyDescent="0.25">
      <c r="B14" s="15" t="str">
        <f ca="1">Premissas!$B$6</f>
        <v>Carregue o histórico para conferir a base do cenário.</v>
      </c>
    </row>
    <row r="16" spans="1:12" x14ac:dyDescent="0.25">
      <c r="B16" s="7" t="s">
        <v>13</v>
      </c>
    </row>
    <row r="17" spans="2:3" x14ac:dyDescent="0.25">
      <c r="B17" s="1" t="s">
        <v>14</v>
      </c>
    </row>
    <row r="18" spans="2:3" x14ac:dyDescent="0.25">
      <c r="B18" s="1" t="s">
        <v>15</v>
      </c>
    </row>
    <row r="19" spans="2:3" x14ac:dyDescent="0.25">
      <c r="B19" s="1" t="s">
        <v>16</v>
      </c>
    </row>
    <row r="20" spans="2:3" x14ac:dyDescent="0.25">
      <c r="B20" s="1" t="s">
        <v>17</v>
      </c>
    </row>
    <row r="21" spans="2:3" x14ac:dyDescent="0.25">
      <c r="B21" s="1" t="s">
        <v>18</v>
      </c>
    </row>
    <row r="23" spans="2:3" x14ac:dyDescent="0.25">
      <c r="B23" s="7" t="s">
        <v>19</v>
      </c>
    </row>
    <row r="24" spans="2:3" x14ac:dyDescent="0.25">
      <c r="B24" s="10" t="s">
        <v>20</v>
      </c>
      <c r="C24" s="9" t="s">
        <v>21</v>
      </c>
    </row>
    <row r="25" spans="2:3" x14ac:dyDescent="0.25">
      <c r="B25" s="8" t="s">
        <v>22</v>
      </c>
      <c r="C25" s="9" t="s">
        <v>23</v>
      </c>
    </row>
    <row r="26" spans="2:3" x14ac:dyDescent="0.25">
      <c r="B26" s="11" t="s">
        <v>24</v>
      </c>
      <c r="C26" s="9" t="s">
        <v>25</v>
      </c>
    </row>
    <row r="28" spans="2:3" x14ac:dyDescent="0.25">
      <c r="B28" s="7" t="s">
        <v>26</v>
      </c>
    </row>
    <row r="29" spans="2:3" x14ac:dyDescent="0.25">
      <c r="B29" s="9" t="s">
        <v>27</v>
      </c>
    </row>
    <row r="30" spans="2:3" x14ac:dyDescent="0.25">
      <c r="B30" s="9" t="s">
        <v>28</v>
      </c>
    </row>
    <row r="31" spans="2:3" x14ac:dyDescent="0.25">
      <c r="B31" s="9" t="s">
        <v>29</v>
      </c>
    </row>
    <row r="32" spans="2:3" x14ac:dyDescent="0.25">
      <c r="B32" s="9" t="s">
        <v>30</v>
      </c>
    </row>
  </sheetData>
  <dataValidations count="1">
    <dataValidation type="whole" allowBlank="1" showInputMessage="1" showErrorMessage="1" sqref="D7" xr:uid="{25CB10CA-B693-45C9-B6DC-06EEDCE7097D}">
      <formula1>3</formula1>
      <formula2>8</formula2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B1165-C28D-4253-AE53-975B7DD1BDBC}">
  <dimension ref="A1:L27"/>
  <sheetViews>
    <sheetView showGridLines="0" workbookViewId="0"/>
  </sheetViews>
  <sheetFormatPr defaultRowHeight="14.25" x14ac:dyDescent="0.25"/>
  <cols>
    <col min="1" max="1" width="2.7109375" style="1" customWidth="1"/>
    <col min="2" max="2" width="36.7109375" style="1" customWidth="1"/>
    <col min="3" max="3" width="2.7109375" style="1" customWidth="1"/>
    <col min="4" max="8" width="10.7109375" style="1" customWidth="1"/>
    <col min="9" max="9" width="2.7109375" style="1" customWidth="1"/>
    <col min="10" max="10" width="20.7109375" style="1" customWidth="1"/>
    <col min="11" max="16384" width="9.140625" style="1"/>
  </cols>
  <sheetData>
    <row r="1" spans="1:12" ht="24" customHeight="1" x14ac:dyDescent="0.35">
      <c r="A1" s="2"/>
      <c r="B1" s="3" t="s">
        <v>0</v>
      </c>
      <c r="C1" s="4" t="s">
        <v>72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73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1" t="s">
        <v>74</v>
      </c>
      <c r="D4" s="25">
        <v>2025</v>
      </c>
      <c r="E4" s="9" t="s">
        <v>75</v>
      </c>
    </row>
    <row r="6" spans="1:12" x14ac:dyDescent="0.25">
      <c r="B6" s="15" t="str">
        <f ca="1">IF(Historico!$D$21="","Carregue o histórico para conferir a base do cenário.",IF(Historico!$D$21&lt;&gt;$D$4,"A base mudou: o último exercício agora é "&amp;Historico!$D$21&amp;". Revise as premissas e atualize o exercício-base.","Base do cenário em dia com o último exercício."))</f>
        <v>Carregue o histórico para conferir a base do cenário.</v>
      </c>
    </row>
    <row r="8" spans="1:12" x14ac:dyDescent="0.25">
      <c r="B8" s="7" t="s">
        <v>76</v>
      </c>
      <c r="D8" s="7" t="s">
        <v>77</v>
      </c>
      <c r="E8" s="7" t="s">
        <v>78</v>
      </c>
      <c r="F8" s="7" t="s">
        <v>79</v>
      </c>
      <c r="G8" s="7" t="s">
        <v>80</v>
      </c>
      <c r="H8" s="7" t="s">
        <v>81</v>
      </c>
      <c r="J8" s="7" t="s">
        <v>82</v>
      </c>
    </row>
    <row r="9" spans="1:12" x14ac:dyDescent="0.25">
      <c r="B9" s="1" t="s">
        <v>49</v>
      </c>
      <c r="D9" s="26">
        <v>0.08</v>
      </c>
      <c r="E9" s="26">
        <v>0.08</v>
      </c>
      <c r="F9" s="26">
        <v>7.0000000000000007E-2</v>
      </c>
      <c r="G9" s="26">
        <v>0.06</v>
      </c>
      <c r="H9" s="26">
        <v>0.05</v>
      </c>
      <c r="J9" s="14" t="str">
        <f ca="1">Historico!$D$24</f>
        <v/>
      </c>
    </row>
    <row r="10" spans="1:12" x14ac:dyDescent="0.25">
      <c r="B10" s="1" t="s">
        <v>51</v>
      </c>
      <c r="D10" s="26">
        <v>0.18</v>
      </c>
      <c r="E10" s="26">
        <v>0.18</v>
      </c>
      <c r="F10" s="26">
        <v>0.18</v>
      </c>
      <c r="G10" s="26">
        <v>0.18</v>
      </c>
      <c r="H10" s="26">
        <v>0.18</v>
      </c>
      <c r="J10" s="14" t="str">
        <f ca="1">Historico!$D$25</f>
        <v/>
      </c>
    </row>
    <row r="11" spans="1:12" x14ac:dyDescent="0.25">
      <c r="B11" s="1" t="s">
        <v>56</v>
      </c>
      <c r="D11" s="26">
        <v>0.03</v>
      </c>
      <c r="E11" s="26">
        <v>0.03</v>
      </c>
      <c r="F11" s="26">
        <v>0.03</v>
      </c>
      <c r="G11" s="26">
        <v>0.03</v>
      </c>
      <c r="H11" s="26">
        <v>0.03</v>
      </c>
      <c r="J11" s="14" t="str">
        <f ca="1">Historico!$D$27</f>
        <v/>
      </c>
    </row>
    <row r="12" spans="1:12" x14ac:dyDescent="0.25">
      <c r="B12" s="1" t="s">
        <v>58</v>
      </c>
      <c r="D12" s="26">
        <v>0.05</v>
      </c>
      <c r="E12" s="26">
        <v>0.05</v>
      </c>
      <c r="F12" s="26">
        <v>0.05</v>
      </c>
      <c r="G12" s="26">
        <v>0.05</v>
      </c>
      <c r="H12" s="26">
        <v>0.05</v>
      </c>
      <c r="J12" s="14" t="str">
        <f ca="1">Historico!$D$28</f>
        <v/>
      </c>
    </row>
    <row r="13" spans="1:12" x14ac:dyDescent="0.25">
      <c r="B13" s="1" t="s">
        <v>83</v>
      </c>
      <c r="D13" s="26">
        <v>0.15</v>
      </c>
      <c r="E13" s="26">
        <v>0.15</v>
      </c>
      <c r="F13" s="26">
        <v>0.15</v>
      </c>
      <c r="G13" s="26">
        <v>0.15</v>
      </c>
      <c r="H13" s="26">
        <v>0.15</v>
      </c>
    </row>
    <row r="15" spans="1:12" x14ac:dyDescent="0.25">
      <c r="B15" s="7" t="s">
        <v>84</v>
      </c>
    </row>
    <row r="16" spans="1:12" x14ac:dyDescent="0.25">
      <c r="B16" s="1" t="s">
        <v>85</v>
      </c>
      <c r="D16" s="26">
        <v>0.34</v>
      </c>
      <c r="J16" s="14" t="str">
        <f ca="1">Historico!$D$26</f>
        <v/>
      </c>
    </row>
    <row r="17" spans="2:10" x14ac:dyDescent="0.25">
      <c r="B17" s="1" t="s">
        <v>86</v>
      </c>
      <c r="D17" s="26">
        <v>0.12</v>
      </c>
    </row>
    <row r="18" spans="2:10" x14ac:dyDescent="0.25">
      <c r="B18" s="1" t="s">
        <v>87</v>
      </c>
      <c r="D18" s="26">
        <v>0.05</v>
      </c>
    </row>
    <row r="19" spans="2:10" x14ac:dyDescent="0.25">
      <c r="B19" s="1" t="s">
        <v>71</v>
      </c>
      <c r="D19" s="27">
        <v>1</v>
      </c>
      <c r="J19" s="24" t="str">
        <f ca="1">Historico!$D$30</f>
        <v/>
      </c>
    </row>
    <row r="20" spans="2:10" x14ac:dyDescent="0.25">
      <c r="B20" s="1" t="s">
        <v>88</v>
      </c>
      <c r="D20" s="14">
        <f>D17+D19*D18</f>
        <v>0.16999999999999998</v>
      </c>
    </row>
    <row r="21" spans="2:10" x14ac:dyDescent="0.25">
      <c r="B21" s="1" t="s">
        <v>89</v>
      </c>
      <c r="D21" s="26">
        <v>0.13</v>
      </c>
    </row>
    <row r="22" spans="2:10" x14ac:dyDescent="0.25">
      <c r="B22" s="1" t="s">
        <v>90</v>
      </c>
      <c r="D22" s="26">
        <v>0.25</v>
      </c>
    </row>
    <row r="23" spans="2:10" x14ac:dyDescent="0.25">
      <c r="B23" s="1" t="s">
        <v>91</v>
      </c>
      <c r="D23" s="14">
        <f>(1-D22)*D20+D22*D21*(1-D16)</f>
        <v>0.14895</v>
      </c>
    </row>
    <row r="24" spans="2:10" x14ac:dyDescent="0.25">
      <c r="B24" s="1" t="s">
        <v>92</v>
      </c>
      <c r="D24" s="26">
        <v>0.04</v>
      </c>
    </row>
    <row r="26" spans="2:10" x14ac:dyDescent="0.25">
      <c r="B26" s="9" t="s">
        <v>93</v>
      </c>
    </row>
    <row r="27" spans="2:10" x14ac:dyDescent="0.25">
      <c r="B27" s="9" t="s">
        <v>94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DE55A-9354-4C42-8E37-F750B40FAB6A}">
  <dimension ref="A1:L30"/>
  <sheetViews>
    <sheetView showGridLines="0" workbookViewId="0"/>
  </sheetViews>
  <sheetFormatPr defaultRowHeight="14.25" x14ac:dyDescent="0.25"/>
  <cols>
    <col min="1" max="1" width="2.7109375" style="1" customWidth="1"/>
    <col min="2" max="2" width="34.7109375" style="1" customWidth="1"/>
    <col min="3" max="3" width="2.7109375" style="1" customWidth="1"/>
    <col min="4" max="11" width="12.7109375" style="1" customWidth="1"/>
    <col min="12" max="16384" width="9.140625" style="1"/>
  </cols>
  <sheetData>
    <row r="1" spans="1:12" ht="24" customHeight="1" x14ac:dyDescent="0.35">
      <c r="A1" s="2"/>
      <c r="B1" s="3" t="s">
        <v>0</v>
      </c>
      <c r="C1" s="4" t="s">
        <v>45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46</v>
      </c>
      <c r="D2" s="2"/>
      <c r="E2" s="2"/>
      <c r="F2" s="2"/>
      <c r="G2" s="2"/>
      <c r="H2" s="2"/>
      <c r="I2" s="2"/>
      <c r="J2" s="2"/>
      <c r="K2" s="2"/>
      <c r="L2" s="2"/>
    </row>
    <row r="5" spans="1:12" x14ac:dyDescent="0.25">
      <c r="B5" s="7" t="s">
        <v>47</v>
      </c>
      <c r="D5" s="19" t="str" cm="1">
        <f t="array" aca="1" ref="D5" ca="1">IFERROR(VALUE(MID(INDEX(_xlfn.ANCHORARRAY(DRE!$B$5),1,COLUMN()-1),7,4)),"")</f>
        <v/>
      </c>
      <c r="E5" s="19" t="str" cm="1">
        <f t="array" aca="1" ref="E5" ca="1">IFERROR(VALUE(MID(INDEX(_xlfn.ANCHORARRAY(DRE!$B$5),1,COLUMN()-1),7,4)),"")</f>
        <v/>
      </c>
      <c r="F5" s="19" t="str" cm="1">
        <f t="array" aca="1" ref="F5" ca="1">IFERROR(VALUE(MID(INDEX(_xlfn.ANCHORARRAY(DRE!$B$5),1,COLUMN()-1),7,4)),"")</f>
        <v/>
      </c>
      <c r="G5" s="19" t="str" cm="1">
        <f t="array" aca="1" ref="G5" ca="1">IFERROR(VALUE(MID(INDEX(_xlfn.ANCHORARRAY(DRE!$B$5),1,COLUMN()-1),7,4)),"")</f>
        <v/>
      </c>
      <c r="H5" s="19" t="str" cm="1">
        <f t="array" aca="1" ref="H5" ca="1">IFERROR(VALUE(MID(INDEX(_xlfn.ANCHORARRAY(DRE!$B$5),1,COLUMN()-1),7,4)),"")</f>
        <v/>
      </c>
      <c r="I5" s="19" t="str" cm="1">
        <f t="array" aca="1" ref="I5" ca="1">IFERROR(VALUE(MID(INDEX(_xlfn.ANCHORARRAY(DRE!$B$5),1,COLUMN()-1),7,4)),"")</f>
        <v/>
      </c>
      <c r="J5" s="19" t="str" cm="1">
        <f t="array" aca="1" ref="J5" ca="1">IFERROR(VALUE(MID(INDEX(_xlfn.ANCHORARRAY(DRE!$B$5),1,COLUMN()-1),7,4)),"")</f>
        <v/>
      </c>
      <c r="K5" s="19" t="str" cm="1">
        <f t="array" aca="1" ref="K5" ca="1">IFERROR(VALUE(MID(INDEX(_xlfn.ANCHORARRAY(DRE!$B$5),1,COLUMN()-1),7,4)),"")</f>
        <v/>
      </c>
    </row>
    <row r="6" spans="1:12" x14ac:dyDescent="0.25">
      <c r="B6" s="1" t="s">
        <v>48</v>
      </c>
      <c r="D6" s="20" t="str" cm="1">
        <f t="array" aca="1" ref="D6" ca="1">IF(D$5="","",IFERROR(_xlfn.XLOOKUP("3.01",INDEX(_xlfn.ANCHORARRAY(DRE!$B$5),0,1),INDEX(_xlfn.ANCHORARRAY(DRE!$B$5),0,COLUMN()-1)),""))</f>
        <v/>
      </c>
      <c r="E6" s="20" t="str" cm="1">
        <f t="array" aca="1" ref="E6" ca="1">IF(E$5="","",IFERROR(_xlfn.XLOOKUP("3.01",INDEX(_xlfn.ANCHORARRAY(DRE!$B$5),0,1),INDEX(_xlfn.ANCHORARRAY(DRE!$B$5),0,COLUMN()-1)),""))</f>
        <v/>
      </c>
      <c r="F6" s="20" t="str" cm="1">
        <f t="array" aca="1" ref="F6" ca="1">IF(F$5="","",IFERROR(_xlfn.XLOOKUP("3.01",INDEX(_xlfn.ANCHORARRAY(DRE!$B$5),0,1),INDEX(_xlfn.ANCHORARRAY(DRE!$B$5),0,COLUMN()-1)),""))</f>
        <v/>
      </c>
      <c r="G6" s="20" t="str" cm="1">
        <f t="array" aca="1" ref="G6" ca="1">IF(G$5="","",IFERROR(_xlfn.XLOOKUP("3.01",INDEX(_xlfn.ANCHORARRAY(DRE!$B$5),0,1),INDEX(_xlfn.ANCHORARRAY(DRE!$B$5),0,COLUMN()-1)),""))</f>
        <v/>
      </c>
      <c r="H6" s="20" t="str" cm="1">
        <f t="array" aca="1" ref="H6" ca="1">IF(H$5="","",IFERROR(_xlfn.XLOOKUP("3.01",INDEX(_xlfn.ANCHORARRAY(DRE!$B$5),0,1),INDEX(_xlfn.ANCHORARRAY(DRE!$B$5),0,COLUMN()-1)),""))</f>
        <v/>
      </c>
      <c r="I6" s="20" t="str" cm="1">
        <f t="array" aca="1" ref="I6" ca="1">IF(I$5="","",IFERROR(_xlfn.XLOOKUP("3.01",INDEX(_xlfn.ANCHORARRAY(DRE!$B$5),0,1),INDEX(_xlfn.ANCHORARRAY(DRE!$B$5),0,COLUMN()-1)),""))</f>
        <v/>
      </c>
      <c r="J6" s="20" t="str" cm="1">
        <f t="array" aca="1" ref="J6" ca="1">IF(J$5="","",IFERROR(_xlfn.XLOOKUP("3.01",INDEX(_xlfn.ANCHORARRAY(DRE!$B$5),0,1),INDEX(_xlfn.ANCHORARRAY(DRE!$B$5),0,COLUMN()-1)),""))</f>
        <v/>
      </c>
      <c r="K6" s="20" t="str" cm="1">
        <f t="array" aca="1" ref="K6" ca="1">IF(K$5="","",IFERROR(_xlfn.XLOOKUP("3.01",INDEX(_xlfn.ANCHORARRAY(DRE!$B$5),0,1),INDEX(_xlfn.ANCHORARRAY(DRE!$B$5),0,COLUMN()-1)),""))</f>
        <v/>
      </c>
    </row>
    <row r="7" spans="1:12" x14ac:dyDescent="0.25">
      <c r="B7" s="1" t="s">
        <v>49</v>
      </c>
      <c r="D7" s="14" t="str">
        <f>""</f>
        <v/>
      </c>
      <c r="E7" s="14" t="str">
        <f t="shared" ref="D7:K7" ca="1" si="0">IF(E$5="","",IFERROR(E6/D6-1,""))</f>
        <v/>
      </c>
      <c r="F7" s="14" t="str">
        <f t="shared" ca="1" si="0"/>
        <v/>
      </c>
      <c r="G7" s="14" t="str">
        <f t="shared" ca="1" si="0"/>
        <v/>
      </c>
      <c r="H7" s="14" t="str">
        <f t="shared" ca="1" si="0"/>
        <v/>
      </c>
      <c r="I7" s="14" t="str">
        <f t="shared" ca="1" si="0"/>
        <v/>
      </c>
      <c r="J7" s="14" t="str">
        <f t="shared" ca="1" si="0"/>
        <v/>
      </c>
      <c r="K7" s="14" t="str">
        <f t="shared" ca="1" si="0"/>
        <v/>
      </c>
    </row>
    <row r="8" spans="1:12" x14ac:dyDescent="0.25">
      <c r="B8" s="1" t="s">
        <v>50</v>
      </c>
      <c r="D8" s="20" t="str" cm="1">
        <f t="array" aca="1" ref="D8" ca="1">IF(D$5="","",IFERROR(_xlfn.XLOOKUP("3.05",INDEX(_xlfn.ANCHORARRAY(DRE!$B$5),0,1),INDEX(_xlfn.ANCHORARRAY(DRE!$B$5),0,COLUMN()-1)),""))</f>
        <v/>
      </c>
      <c r="E8" s="20" t="str" cm="1">
        <f t="array" aca="1" ref="E8" ca="1">IF(E$5="","",IFERROR(_xlfn.XLOOKUP("3.05",INDEX(_xlfn.ANCHORARRAY(DRE!$B$5),0,1),INDEX(_xlfn.ANCHORARRAY(DRE!$B$5),0,COLUMN()-1)),""))</f>
        <v/>
      </c>
      <c r="F8" s="20" t="str" cm="1">
        <f t="array" aca="1" ref="F8" ca="1">IF(F$5="","",IFERROR(_xlfn.XLOOKUP("3.05",INDEX(_xlfn.ANCHORARRAY(DRE!$B$5),0,1),INDEX(_xlfn.ANCHORARRAY(DRE!$B$5),0,COLUMN()-1)),""))</f>
        <v/>
      </c>
      <c r="G8" s="20" t="str" cm="1">
        <f t="array" aca="1" ref="G8" ca="1">IF(G$5="","",IFERROR(_xlfn.XLOOKUP("3.05",INDEX(_xlfn.ANCHORARRAY(DRE!$B$5),0,1),INDEX(_xlfn.ANCHORARRAY(DRE!$B$5),0,COLUMN()-1)),""))</f>
        <v/>
      </c>
      <c r="H8" s="20" t="str" cm="1">
        <f t="array" aca="1" ref="H8" ca="1">IF(H$5="","",IFERROR(_xlfn.XLOOKUP("3.05",INDEX(_xlfn.ANCHORARRAY(DRE!$B$5),0,1),INDEX(_xlfn.ANCHORARRAY(DRE!$B$5),0,COLUMN()-1)),""))</f>
        <v/>
      </c>
      <c r="I8" s="20" t="str" cm="1">
        <f t="array" aca="1" ref="I8" ca="1">IF(I$5="","",IFERROR(_xlfn.XLOOKUP("3.05",INDEX(_xlfn.ANCHORARRAY(DRE!$B$5),0,1),INDEX(_xlfn.ANCHORARRAY(DRE!$B$5),0,COLUMN()-1)),""))</f>
        <v/>
      </c>
      <c r="J8" s="20" t="str" cm="1">
        <f t="array" aca="1" ref="J8" ca="1">IF(J$5="","",IFERROR(_xlfn.XLOOKUP("3.05",INDEX(_xlfn.ANCHORARRAY(DRE!$B$5),0,1),INDEX(_xlfn.ANCHORARRAY(DRE!$B$5),0,COLUMN()-1)),""))</f>
        <v/>
      </c>
      <c r="K8" s="20" t="str" cm="1">
        <f t="array" aca="1" ref="K8" ca="1">IF(K$5="","",IFERROR(_xlfn.XLOOKUP("3.05",INDEX(_xlfn.ANCHORARRAY(DRE!$B$5),0,1),INDEX(_xlfn.ANCHORARRAY(DRE!$B$5),0,COLUMN()-1)),""))</f>
        <v/>
      </c>
    </row>
    <row r="9" spans="1:12" x14ac:dyDescent="0.25">
      <c r="B9" s="1" t="s">
        <v>51</v>
      </c>
      <c r="D9" s="14" t="str">
        <f t="shared" ref="D9:K9" ca="1" si="1">IF(D$5="","",IFERROR(D8/D6,""))</f>
        <v/>
      </c>
      <c r="E9" s="14" t="str">
        <f t="shared" ca="1" si="1"/>
        <v/>
      </c>
      <c r="F9" s="14" t="str">
        <f t="shared" ca="1" si="1"/>
        <v/>
      </c>
      <c r="G9" s="14" t="str">
        <f t="shared" ca="1" si="1"/>
        <v/>
      </c>
      <c r="H9" s="14" t="str">
        <f t="shared" ca="1" si="1"/>
        <v/>
      </c>
      <c r="I9" s="14" t="str">
        <f t="shared" ca="1" si="1"/>
        <v/>
      </c>
      <c r="J9" s="14" t="str">
        <f t="shared" ca="1" si="1"/>
        <v/>
      </c>
      <c r="K9" s="14" t="str">
        <f t="shared" ca="1" si="1"/>
        <v/>
      </c>
    </row>
    <row r="10" spans="1:12" x14ac:dyDescent="0.25">
      <c r="B10" s="1" t="s">
        <v>52</v>
      </c>
      <c r="D10" s="20" t="str" cm="1">
        <f t="array" aca="1" ref="D10" ca="1">IF(D$5="","",IFERROR(_xlfn.XLOOKUP("3.07",INDEX(_xlfn.ANCHORARRAY(DRE!$B$5),0,1),INDEX(_xlfn.ANCHORARRAY(DRE!$B$5),0,COLUMN()-1)),""))</f>
        <v/>
      </c>
      <c r="E10" s="20" t="str" cm="1">
        <f t="array" aca="1" ref="E10" ca="1">IF(E$5="","",IFERROR(_xlfn.XLOOKUP("3.07",INDEX(_xlfn.ANCHORARRAY(DRE!$B$5),0,1),INDEX(_xlfn.ANCHORARRAY(DRE!$B$5),0,COLUMN()-1)),""))</f>
        <v/>
      </c>
      <c r="F10" s="20" t="str" cm="1">
        <f t="array" aca="1" ref="F10" ca="1">IF(F$5="","",IFERROR(_xlfn.XLOOKUP("3.07",INDEX(_xlfn.ANCHORARRAY(DRE!$B$5),0,1),INDEX(_xlfn.ANCHORARRAY(DRE!$B$5),0,COLUMN()-1)),""))</f>
        <v/>
      </c>
      <c r="G10" s="20" t="str" cm="1">
        <f t="array" aca="1" ref="G10" ca="1">IF(G$5="","",IFERROR(_xlfn.XLOOKUP("3.07",INDEX(_xlfn.ANCHORARRAY(DRE!$B$5),0,1),INDEX(_xlfn.ANCHORARRAY(DRE!$B$5),0,COLUMN()-1)),""))</f>
        <v/>
      </c>
      <c r="H10" s="20" t="str" cm="1">
        <f t="array" aca="1" ref="H10" ca="1">IF(H$5="","",IFERROR(_xlfn.XLOOKUP("3.07",INDEX(_xlfn.ANCHORARRAY(DRE!$B$5),0,1),INDEX(_xlfn.ANCHORARRAY(DRE!$B$5),0,COLUMN()-1)),""))</f>
        <v/>
      </c>
      <c r="I10" s="20" t="str" cm="1">
        <f t="array" aca="1" ref="I10" ca="1">IF(I$5="","",IFERROR(_xlfn.XLOOKUP("3.07",INDEX(_xlfn.ANCHORARRAY(DRE!$B$5),0,1),INDEX(_xlfn.ANCHORARRAY(DRE!$B$5),0,COLUMN()-1)),""))</f>
        <v/>
      </c>
      <c r="J10" s="20" t="str" cm="1">
        <f t="array" aca="1" ref="J10" ca="1">IF(J$5="","",IFERROR(_xlfn.XLOOKUP("3.07",INDEX(_xlfn.ANCHORARRAY(DRE!$B$5),0,1),INDEX(_xlfn.ANCHORARRAY(DRE!$B$5),0,COLUMN()-1)),""))</f>
        <v/>
      </c>
      <c r="K10" s="20" t="str" cm="1">
        <f t="array" aca="1" ref="K10" ca="1">IF(K$5="","",IFERROR(_xlfn.XLOOKUP("3.07",INDEX(_xlfn.ANCHORARRAY(DRE!$B$5),0,1),INDEX(_xlfn.ANCHORARRAY(DRE!$B$5),0,COLUMN()-1)),""))</f>
        <v/>
      </c>
    </row>
    <row r="11" spans="1:12" x14ac:dyDescent="0.25">
      <c r="B11" s="1" t="s">
        <v>53</v>
      </c>
      <c r="D11" s="20" t="str" cm="1">
        <f t="array" aca="1" ref="D11" ca="1">IF(D$5="","",IFERROR(_xlfn.XLOOKUP("3.08",INDEX(_xlfn.ANCHORARRAY(DRE!$B$5),0,1),INDEX(_xlfn.ANCHORARRAY(DRE!$B$5),0,COLUMN()-1)),""))</f>
        <v/>
      </c>
      <c r="E11" s="20" t="str" cm="1">
        <f t="array" aca="1" ref="E11" ca="1">IF(E$5="","",IFERROR(_xlfn.XLOOKUP("3.08",INDEX(_xlfn.ANCHORARRAY(DRE!$B$5),0,1),INDEX(_xlfn.ANCHORARRAY(DRE!$B$5),0,COLUMN()-1)),""))</f>
        <v/>
      </c>
      <c r="F11" s="20" t="str" cm="1">
        <f t="array" aca="1" ref="F11" ca="1">IF(F$5="","",IFERROR(_xlfn.XLOOKUP("3.08",INDEX(_xlfn.ANCHORARRAY(DRE!$B$5),0,1),INDEX(_xlfn.ANCHORARRAY(DRE!$B$5),0,COLUMN()-1)),""))</f>
        <v/>
      </c>
      <c r="G11" s="20" t="str" cm="1">
        <f t="array" aca="1" ref="G11" ca="1">IF(G$5="","",IFERROR(_xlfn.XLOOKUP("3.08",INDEX(_xlfn.ANCHORARRAY(DRE!$B$5),0,1),INDEX(_xlfn.ANCHORARRAY(DRE!$B$5),0,COLUMN()-1)),""))</f>
        <v/>
      </c>
      <c r="H11" s="20" t="str" cm="1">
        <f t="array" aca="1" ref="H11" ca="1">IF(H$5="","",IFERROR(_xlfn.XLOOKUP("3.08",INDEX(_xlfn.ANCHORARRAY(DRE!$B$5),0,1),INDEX(_xlfn.ANCHORARRAY(DRE!$B$5),0,COLUMN()-1)),""))</f>
        <v/>
      </c>
      <c r="I11" s="20" t="str" cm="1">
        <f t="array" aca="1" ref="I11" ca="1">IF(I$5="","",IFERROR(_xlfn.XLOOKUP("3.08",INDEX(_xlfn.ANCHORARRAY(DRE!$B$5),0,1),INDEX(_xlfn.ANCHORARRAY(DRE!$B$5),0,COLUMN()-1)),""))</f>
        <v/>
      </c>
      <c r="J11" s="20" t="str" cm="1">
        <f t="array" aca="1" ref="J11" ca="1">IF(J$5="","",IFERROR(_xlfn.XLOOKUP("3.08",INDEX(_xlfn.ANCHORARRAY(DRE!$B$5),0,1),INDEX(_xlfn.ANCHORARRAY(DRE!$B$5),0,COLUMN()-1)),""))</f>
        <v/>
      </c>
      <c r="K11" s="20" t="str" cm="1">
        <f t="array" aca="1" ref="K11" ca="1">IF(K$5="","",IFERROR(_xlfn.XLOOKUP("3.08",INDEX(_xlfn.ANCHORARRAY(DRE!$B$5),0,1),INDEX(_xlfn.ANCHORARRAY(DRE!$B$5),0,COLUMN()-1)),""))</f>
        <v/>
      </c>
    </row>
    <row r="12" spans="1:12" x14ac:dyDescent="0.25">
      <c r="B12" s="1" t="s">
        <v>54</v>
      </c>
      <c r="D12" s="14" t="str">
        <f t="shared" ref="D12:K12" ca="1" si="2">IF(D$5="","",IFERROR(-D11/D10,""))</f>
        <v/>
      </c>
      <c r="E12" s="14" t="str">
        <f t="shared" ca="1" si="2"/>
        <v/>
      </c>
      <c r="F12" s="14" t="str">
        <f t="shared" ca="1" si="2"/>
        <v/>
      </c>
      <c r="G12" s="14" t="str">
        <f t="shared" ca="1" si="2"/>
        <v/>
      </c>
      <c r="H12" s="14" t="str">
        <f t="shared" ca="1" si="2"/>
        <v/>
      </c>
      <c r="I12" s="14" t="str">
        <f t="shared" ca="1" si="2"/>
        <v/>
      </c>
      <c r="J12" s="14" t="str">
        <f t="shared" ca="1" si="2"/>
        <v/>
      </c>
      <c r="K12" s="14" t="str">
        <f t="shared" ca="1" si="2"/>
        <v/>
      </c>
    </row>
    <row r="13" spans="1:12" x14ac:dyDescent="0.25">
      <c r="B13" s="1" t="s">
        <v>55</v>
      </c>
      <c r="D13" s="20" t="str" cm="1">
        <f t="array" aca="1" ref="D13" ca="1">IF(D$5="","",IFERROR(_xlfn.XLOOKUP("*eprecia*",INDEX(_xlfn.ANCHORARRAY(Caixa!$B$5),0,2),INDEX(_xlfn.ANCHORARRAY(Caixa!$B$5),0,COLUMN()-1),"",2),""))</f>
        <v/>
      </c>
      <c r="E13" s="20" t="str" cm="1">
        <f t="array" aca="1" ref="E13" ca="1">IF(E$5="","",IFERROR(_xlfn.XLOOKUP("*eprecia*",INDEX(_xlfn.ANCHORARRAY(Caixa!$B$5),0,2),INDEX(_xlfn.ANCHORARRAY(Caixa!$B$5),0,COLUMN()-1),"",2),""))</f>
        <v/>
      </c>
      <c r="F13" s="20" t="str" cm="1">
        <f t="array" aca="1" ref="F13" ca="1">IF(F$5="","",IFERROR(_xlfn.XLOOKUP("*eprecia*",INDEX(_xlfn.ANCHORARRAY(Caixa!$B$5),0,2),INDEX(_xlfn.ANCHORARRAY(Caixa!$B$5),0,COLUMN()-1),"",2),""))</f>
        <v/>
      </c>
      <c r="G13" s="20" t="str" cm="1">
        <f t="array" aca="1" ref="G13" ca="1">IF(G$5="","",IFERROR(_xlfn.XLOOKUP("*eprecia*",INDEX(_xlfn.ANCHORARRAY(Caixa!$B$5),0,2),INDEX(_xlfn.ANCHORARRAY(Caixa!$B$5),0,COLUMN()-1),"",2),""))</f>
        <v/>
      </c>
      <c r="H13" s="20" t="str" cm="1">
        <f t="array" aca="1" ref="H13" ca="1">IF(H$5="","",IFERROR(_xlfn.XLOOKUP("*eprecia*",INDEX(_xlfn.ANCHORARRAY(Caixa!$B$5),0,2),INDEX(_xlfn.ANCHORARRAY(Caixa!$B$5),0,COLUMN()-1),"",2),""))</f>
        <v/>
      </c>
      <c r="I13" s="20" t="str" cm="1">
        <f t="array" aca="1" ref="I13" ca="1">IF(I$5="","",IFERROR(_xlfn.XLOOKUP("*eprecia*",INDEX(_xlfn.ANCHORARRAY(Caixa!$B$5),0,2),INDEX(_xlfn.ANCHORARRAY(Caixa!$B$5),0,COLUMN()-1),"",2),""))</f>
        <v/>
      </c>
      <c r="J13" s="20" t="str" cm="1">
        <f t="array" aca="1" ref="J13" ca="1">IF(J$5="","",IFERROR(_xlfn.XLOOKUP("*eprecia*",INDEX(_xlfn.ANCHORARRAY(Caixa!$B$5),0,2),INDEX(_xlfn.ANCHORARRAY(Caixa!$B$5),0,COLUMN()-1),"",2),""))</f>
        <v/>
      </c>
      <c r="K13" s="20" t="str" cm="1">
        <f t="array" aca="1" ref="K13" ca="1">IF(K$5="","",IFERROR(_xlfn.XLOOKUP("*eprecia*",INDEX(_xlfn.ANCHORARRAY(Caixa!$B$5),0,2),INDEX(_xlfn.ANCHORARRAY(Caixa!$B$5),0,COLUMN()-1),"",2),""))</f>
        <v/>
      </c>
    </row>
    <row r="14" spans="1:12" x14ac:dyDescent="0.25">
      <c r="B14" s="1" t="s">
        <v>56</v>
      </c>
      <c r="D14" s="14" t="str">
        <f t="shared" ref="D14:K14" ca="1" si="3">IF(D$5="","",IFERROR(D13/D6,""))</f>
        <v/>
      </c>
      <c r="E14" s="14" t="str">
        <f t="shared" ca="1" si="3"/>
        <v/>
      </c>
      <c r="F14" s="14" t="str">
        <f t="shared" ca="1" si="3"/>
        <v/>
      </c>
      <c r="G14" s="14" t="str">
        <f t="shared" ca="1" si="3"/>
        <v/>
      </c>
      <c r="H14" s="14" t="str">
        <f t="shared" ca="1" si="3"/>
        <v/>
      </c>
      <c r="I14" s="14" t="str">
        <f t="shared" ca="1" si="3"/>
        <v/>
      </c>
      <c r="J14" s="14" t="str">
        <f t="shared" ca="1" si="3"/>
        <v/>
      </c>
      <c r="K14" s="14" t="str">
        <f t="shared" ca="1" si="3"/>
        <v/>
      </c>
    </row>
    <row r="15" spans="1:12" x14ac:dyDescent="0.25">
      <c r="B15" s="1" t="s">
        <v>57</v>
      </c>
      <c r="D15" s="20" t="str" cm="1">
        <f t="array" aca="1" ref="D15" ca="1">IF(D$5="","",IFERROR(_xlfn.XLOOKUP("6.02",INDEX(_xlfn.ANCHORARRAY(Caixa!$B$5),0,1),INDEX(_xlfn.ANCHORARRAY(Caixa!$B$5),0,COLUMN()-1)),""))</f>
        <v/>
      </c>
      <c r="E15" s="20" t="str" cm="1">
        <f t="array" aca="1" ref="E15" ca="1">IF(E$5="","",IFERROR(_xlfn.XLOOKUP("6.02",INDEX(_xlfn.ANCHORARRAY(Caixa!$B$5),0,1),INDEX(_xlfn.ANCHORARRAY(Caixa!$B$5),0,COLUMN()-1)),""))</f>
        <v/>
      </c>
      <c r="F15" s="20" t="str" cm="1">
        <f t="array" aca="1" ref="F15" ca="1">IF(F$5="","",IFERROR(_xlfn.XLOOKUP("6.02",INDEX(_xlfn.ANCHORARRAY(Caixa!$B$5),0,1),INDEX(_xlfn.ANCHORARRAY(Caixa!$B$5),0,COLUMN()-1)),""))</f>
        <v/>
      </c>
      <c r="G15" s="20" t="str" cm="1">
        <f t="array" aca="1" ref="G15" ca="1">IF(G$5="","",IFERROR(_xlfn.XLOOKUP("6.02",INDEX(_xlfn.ANCHORARRAY(Caixa!$B$5),0,1),INDEX(_xlfn.ANCHORARRAY(Caixa!$B$5),0,COLUMN()-1)),""))</f>
        <v/>
      </c>
      <c r="H15" s="20" t="str" cm="1">
        <f t="array" aca="1" ref="H15" ca="1">IF(H$5="","",IFERROR(_xlfn.XLOOKUP("6.02",INDEX(_xlfn.ANCHORARRAY(Caixa!$B$5),0,1),INDEX(_xlfn.ANCHORARRAY(Caixa!$B$5),0,COLUMN()-1)),""))</f>
        <v/>
      </c>
      <c r="I15" s="20" t="str" cm="1">
        <f t="array" aca="1" ref="I15" ca="1">IF(I$5="","",IFERROR(_xlfn.XLOOKUP("6.02",INDEX(_xlfn.ANCHORARRAY(Caixa!$B$5),0,1),INDEX(_xlfn.ANCHORARRAY(Caixa!$B$5),0,COLUMN()-1)),""))</f>
        <v/>
      </c>
      <c r="J15" s="20" t="str" cm="1">
        <f t="array" aca="1" ref="J15" ca="1">IF(J$5="","",IFERROR(_xlfn.XLOOKUP("6.02",INDEX(_xlfn.ANCHORARRAY(Caixa!$B$5),0,1),INDEX(_xlfn.ANCHORARRAY(Caixa!$B$5),0,COLUMN()-1)),""))</f>
        <v/>
      </c>
      <c r="K15" s="20" t="str" cm="1">
        <f t="array" aca="1" ref="K15" ca="1">IF(K$5="","",IFERROR(_xlfn.XLOOKUP("6.02",INDEX(_xlfn.ANCHORARRAY(Caixa!$B$5),0,1),INDEX(_xlfn.ANCHORARRAY(Caixa!$B$5),0,COLUMN()-1)),""))</f>
        <v/>
      </c>
    </row>
    <row r="16" spans="1:12" x14ac:dyDescent="0.25">
      <c r="B16" s="1" t="s">
        <v>58</v>
      </c>
      <c r="D16" s="14" t="str">
        <f t="shared" ref="D16:K16" ca="1" si="4">IF(D$5="","",IFERROR(-D15/D6,""))</f>
        <v/>
      </c>
      <c r="E16" s="14" t="str">
        <f t="shared" ca="1" si="4"/>
        <v/>
      </c>
      <c r="F16" s="14" t="str">
        <f t="shared" ca="1" si="4"/>
        <v/>
      </c>
      <c r="G16" s="14" t="str">
        <f t="shared" ca="1" si="4"/>
        <v/>
      </c>
      <c r="H16" s="14" t="str">
        <f t="shared" ca="1" si="4"/>
        <v/>
      </c>
      <c r="I16" s="14" t="str">
        <f t="shared" ca="1" si="4"/>
        <v/>
      </c>
      <c r="J16" s="14" t="str">
        <f t="shared" ca="1" si="4"/>
        <v/>
      </c>
      <c r="K16" s="14" t="str">
        <f t="shared" ca="1" si="4"/>
        <v/>
      </c>
    </row>
    <row r="17" spans="2:11" x14ac:dyDescent="0.25">
      <c r="B17" s="1" t="s">
        <v>59</v>
      </c>
      <c r="D17" s="20" t="str" cm="1">
        <f t="array" aca="1" ref="D17" ca="1">IF(D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  <c r="E17" s="20" t="str" cm="1">
        <f t="array" aca="1" ref="E17" ca="1">IF(E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  <c r="F17" s="20" t="str" cm="1">
        <f t="array" aca="1" ref="F17" ca="1">IF(F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  <c r="G17" s="20" t="str" cm="1">
        <f t="array" aca="1" ref="G17" ca="1">IF(G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  <c r="H17" s="20" t="str" cm="1">
        <f t="array" aca="1" ref="H17" ca="1">IF(H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  <c r="I17" s="20" t="str" cm="1">
        <f t="array" aca="1" ref="I17" ca="1">IF(I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  <c r="J17" s="20" t="str" cm="1">
        <f t="array" aca="1" ref="J17" ca="1">IF(J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  <c r="K17" s="20" t="str" cm="1">
        <f t="array" aca="1" ref="K17" ca="1">IF(K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</row>
    <row r="18" spans="2:11" x14ac:dyDescent="0.25">
      <c r="B18" s="1" t="s">
        <v>60</v>
      </c>
      <c r="D18" s="20" t="str" cm="1">
        <f t="array" aca="1" ref="D18" ca="1">IF(D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  <c r="E18" s="20" t="str" cm="1">
        <f t="array" aca="1" ref="E18" ca="1">IF(E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  <c r="F18" s="20" t="str" cm="1">
        <f t="array" aca="1" ref="F18" ca="1">IF(F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  <c r="G18" s="20" t="str" cm="1">
        <f t="array" aca="1" ref="G18" ca="1">IF(G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  <c r="H18" s="20" t="str" cm="1">
        <f t="array" aca="1" ref="H18" ca="1">IF(H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  <c r="I18" s="20" t="str" cm="1">
        <f t="array" aca="1" ref="I18" ca="1">IF(I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  <c r="J18" s="20" t="str" cm="1">
        <f t="array" aca="1" ref="J18" ca="1">IF(J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  <c r="K18" s="20" t="str" cm="1">
        <f t="array" aca="1" ref="K18" ca="1">IF(K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</row>
    <row r="19" spans="2:11" x14ac:dyDescent="0.25">
      <c r="B19" s="1" t="s">
        <v>61</v>
      </c>
      <c r="D19" s="21" t="str">
        <f t="shared" ref="D19:K19" ca="1" si="5">IF(D$5="","",IFERROR(D18-D17,""))</f>
        <v/>
      </c>
      <c r="E19" s="21" t="str">
        <f t="shared" ca="1" si="5"/>
        <v/>
      </c>
      <c r="F19" s="21" t="str">
        <f t="shared" ca="1" si="5"/>
        <v/>
      </c>
      <c r="G19" s="21" t="str">
        <f t="shared" ca="1" si="5"/>
        <v/>
      </c>
      <c r="H19" s="21" t="str">
        <f t="shared" ca="1" si="5"/>
        <v/>
      </c>
      <c r="I19" s="21" t="str">
        <f t="shared" ca="1" si="5"/>
        <v/>
      </c>
      <c r="J19" s="21" t="str">
        <f t="shared" ca="1" si="5"/>
        <v/>
      </c>
      <c r="K19" s="21" t="str">
        <f t="shared" ca="1" si="5"/>
        <v/>
      </c>
    </row>
    <row r="21" spans="2:11" x14ac:dyDescent="0.25">
      <c r="B21" s="7" t="s">
        <v>62</v>
      </c>
      <c r="D21" s="22" t="str" cm="1">
        <f t="array" aca="1" ref="D21" ca="1">IFERROR(LOOKUP(2,1/($D$5:$K$5&lt;&gt;""),$D$5:$K$5),"")</f>
        <v/>
      </c>
    </row>
    <row r="22" spans="2:11" x14ac:dyDescent="0.25">
      <c r="B22" s="1" t="s">
        <v>63</v>
      </c>
      <c r="D22" s="21" t="str" cm="1">
        <f t="array" aca="1" ref="D22" ca="1">IFERROR(LOOKUP(2,1/($D$5:$K$5&lt;&gt;""),$D$6:$K$6),"")</f>
        <v/>
      </c>
    </row>
    <row r="23" spans="2:11" x14ac:dyDescent="0.25">
      <c r="B23" s="1" t="s">
        <v>64</v>
      </c>
      <c r="D23" s="21" t="str" cm="1">
        <f t="array" aca="1" ref="D23" ca="1">IFERROR(LOOKUP(2,1/($D$5:$K$5&lt;&gt;""),$D$19:$K$19),"")</f>
        <v/>
      </c>
    </row>
    <row r="24" spans="2:11" x14ac:dyDescent="0.25">
      <c r="B24" s="1" t="s">
        <v>65</v>
      </c>
      <c r="D24" s="14" t="str" cm="1">
        <f t="array" aca="1" ref="D24" ca="1">IFERROR(AVERAGE(IF(($D$5:$K$5&lt;&gt;"")*ISNUMBER($D$7:$K$7),$D$7:$K$7)),"")</f>
        <v/>
      </c>
    </row>
    <row r="25" spans="2:11" x14ac:dyDescent="0.25">
      <c r="B25" s="1" t="s">
        <v>66</v>
      </c>
      <c r="D25" s="14" t="str" cm="1">
        <f t="array" aca="1" ref="D25" ca="1">IFERROR(AVERAGE(IF(($D$5:$K$5&lt;&gt;"")*ISNUMBER($D$9:$K$9),$D$9:$K$9)),"")</f>
        <v/>
      </c>
    </row>
    <row r="26" spans="2:11" x14ac:dyDescent="0.25">
      <c r="B26" s="1" t="s">
        <v>67</v>
      </c>
      <c r="D26" s="14" t="str" cm="1">
        <f t="array" aca="1" ref="D26" ca="1">IFERROR(AVERAGE(IF(($D$5:$K$5&lt;&gt;"")*ISNUMBER($D$12:$K$12),$D$12:$K$12)),"")</f>
        <v/>
      </c>
    </row>
    <row r="27" spans="2:11" x14ac:dyDescent="0.25">
      <c r="B27" s="1" t="s">
        <v>68</v>
      </c>
      <c r="D27" s="14" t="str" cm="1">
        <f t="array" aca="1" ref="D27" ca="1">IFERROR(AVERAGE(IF(($D$5:$K$5&lt;&gt;"")*ISNUMBER($D$14:$K$14),$D$14:$K$14)),"")</f>
        <v/>
      </c>
    </row>
    <row r="28" spans="2:11" x14ac:dyDescent="0.25">
      <c r="B28" s="1" t="s">
        <v>69</v>
      </c>
      <c r="D28" s="14" t="str" cm="1">
        <f t="array" aca="1" ref="D28" ca="1">IFERROR(AVERAGE(IF(($D$5:$K$5&lt;&gt;"")*ISNUMBER($D$16:$K$16),$D$16:$K$16)),"")</f>
        <v/>
      </c>
    </row>
    <row r="29" spans="2:11" x14ac:dyDescent="0.25">
      <c r="B29" s="1" t="s">
        <v>70</v>
      </c>
      <c r="D29" s="23" t="str">
        <f ca="1">IFERROR(INDEX(_xlfn.ANCHORARRAY(Mercado!$B$9),2,MATCH("market_cap",INDEX(_xlfn.ANCHORARRAY(Mercado!$B$9),1,0),0))/1000000/Mercado!$D$5,"")</f>
        <v/>
      </c>
    </row>
    <row r="30" spans="2:11" x14ac:dyDescent="0.25">
      <c r="B30" s="1" t="s">
        <v>71</v>
      </c>
      <c r="D30" s="24" t="str">
        <f ca="1">IFERROR(INDEX(_xlfn.ANCHORARRAY(Mercado!$B$9),2,MATCH("beta",INDEX(_xlfn.ANCHORARRAY(Mercado!$B$9),1,0),0)),"")</f>
        <v/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CFD63-32B6-43BD-995E-7DE5A9846F69}">
  <dimension ref="A1:L29"/>
  <sheetViews>
    <sheetView showGridLines="0" workbookViewId="0"/>
  </sheetViews>
  <sheetFormatPr defaultRowHeight="14.25" x14ac:dyDescent="0.25"/>
  <cols>
    <col min="1" max="1" width="2.7109375" style="1" customWidth="1"/>
    <col min="2" max="2" width="34.7109375" style="1" customWidth="1"/>
    <col min="3" max="8" width="12.7109375" style="1" customWidth="1"/>
    <col min="9" max="16384" width="9.140625" style="1"/>
  </cols>
  <sheetData>
    <row r="1" spans="1:12" ht="24" customHeight="1" x14ac:dyDescent="0.35">
      <c r="A1" s="2"/>
      <c r="B1" s="3" t="s">
        <v>0</v>
      </c>
      <c r="C1" s="4" t="s">
        <v>95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96</v>
      </c>
      <c r="D2" s="2"/>
      <c r="E2" s="2"/>
      <c r="F2" s="2"/>
      <c r="G2" s="2"/>
      <c r="H2" s="2"/>
      <c r="I2" s="2"/>
      <c r="J2" s="2"/>
      <c r="K2" s="2"/>
      <c r="L2" s="2"/>
    </row>
    <row r="5" spans="1:12" x14ac:dyDescent="0.25">
      <c r="B5" s="7" t="s">
        <v>47</v>
      </c>
      <c r="C5" s="7" t="s">
        <v>97</v>
      </c>
      <c r="D5" s="19" t="str">
        <f ca="1">IFERROR(Historico!$D$21+1,"Ano 1")</f>
        <v>Ano 1</v>
      </c>
      <c r="E5" s="19" t="str">
        <f ca="1">IFERROR(Historico!$D$21+2,"Ano 2")</f>
        <v>Ano 2</v>
      </c>
      <c r="F5" s="19" t="str">
        <f ca="1">IFERROR(Historico!$D$21+3,"Ano 3")</f>
        <v>Ano 3</v>
      </c>
      <c r="G5" s="19" t="str">
        <f ca="1">IFERROR(Historico!$D$21+4,"Ano 4")</f>
        <v>Ano 4</v>
      </c>
      <c r="H5" s="19" t="str">
        <f ca="1">IFERROR(Historico!$D$21+5,"Ano 5")</f>
        <v>Ano 5</v>
      </c>
    </row>
    <row r="6" spans="1:12" x14ac:dyDescent="0.25">
      <c r="B6" s="1" t="s">
        <v>48</v>
      </c>
      <c r="C6" s="20" t="str">
        <f ca="1">Historico!$D$22</f>
        <v/>
      </c>
      <c r="D6" s="21" t="e">
        <f ca="1">C6*(1+Premissas!D$9)</f>
        <v>#VALUE!</v>
      </c>
      <c r="E6" s="21" t="e">
        <f ca="1">D6*(1+Premissas!E$9)</f>
        <v>#VALUE!</v>
      </c>
      <c r="F6" s="21" t="e">
        <f ca="1">E6*(1+Premissas!F$9)</f>
        <v>#VALUE!</v>
      </c>
      <c r="G6" s="21" t="e">
        <f ca="1">F6*(1+Premissas!G$9)</f>
        <v>#VALUE!</v>
      </c>
      <c r="H6" s="21" t="e">
        <f ca="1">G6*(1+Premissas!H$9)</f>
        <v>#VALUE!</v>
      </c>
    </row>
    <row r="7" spans="1:12" x14ac:dyDescent="0.25">
      <c r="B7" s="1" t="s">
        <v>50</v>
      </c>
      <c r="D7" s="21" t="e">
        <f ca="1">D6*Premissas!D$10</f>
        <v>#VALUE!</v>
      </c>
      <c r="E7" s="21" t="e">
        <f ca="1">E6*Premissas!E$10</f>
        <v>#VALUE!</v>
      </c>
      <c r="F7" s="21" t="e">
        <f ca="1">F6*Premissas!F$10</f>
        <v>#VALUE!</v>
      </c>
      <c r="G7" s="21" t="e">
        <f ca="1">G6*Premissas!G$10</f>
        <v>#VALUE!</v>
      </c>
      <c r="H7" s="21" t="e">
        <f ca="1">H6*Premissas!H$10</f>
        <v>#VALUE!</v>
      </c>
    </row>
    <row r="8" spans="1:12" x14ac:dyDescent="0.25">
      <c r="B8" s="1" t="s">
        <v>98</v>
      </c>
      <c r="D8" s="21" t="e">
        <f ca="1">-D7*Premissas!$D$16</f>
        <v>#VALUE!</v>
      </c>
      <c r="E8" s="21" t="e">
        <f ca="1">-E7*Premissas!$D$16</f>
        <v>#VALUE!</v>
      </c>
      <c r="F8" s="21" t="e">
        <f ca="1">-F7*Premissas!$D$16</f>
        <v>#VALUE!</v>
      </c>
      <c r="G8" s="21" t="e">
        <f ca="1">-G7*Premissas!$D$16</f>
        <v>#VALUE!</v>
      </c>
      <c r="H8" s="21" t="e">
        <f ca="1">-H7*Premissas!$D$16</f>
        <v>#VALUE!</v>
      </c>
    </row>
    <row r="9" spans="1:12" x14ac:dyDescent="0.25">
      <c r="B9" s="1" t="s">
        <v>99</v>
      </c>
      <c r="D9" s="21" t="e">
        <f ca="1">D7+D8</f>
        <v>#VALUE!</v>
      </c>
      <c r="E9" s="21" t="e">
        <f ca="1">E7+E8</f>
        <v>#VALUE!</v>
      </c>
      <c r="F9" s="21" t="e">
        <f ca="1">F7+F8</f>
        <v>#VALUE!</v>
      </c>
      <c r="G9" s="21" t="e">
        <f ca="1">G7+G8</f>
        <v>#VALUE!</v>
      </c>
      <c r="H9" s="21" t="e">
        <f ca="1">H7+H8</f>
        <v>#VALUE!</v>
      </c>
    </row>
    <row r="10" spans="1:12" x14ac:dyDescent="0.25">
      <c r="B10" s="1" t="s">
        <v>100</v>
      </c>
      <c r="D10" s="21" t="e">
        <f ca="1">D6*Premissas!D$11</f>
        <v>#VALUE!</v>
      </c>
      <c r="E10" s="21" t="e">
        <f ca="1">E6*Premissas!E$11</f>
        <v>#VALUE!</v>
      </c>
      <c r="F10" s="21" t="e">
        <f ca="1">F6*Premissas!F$11</f>
        <v>#VALUE!</v>
      </c>
      <c r="G10" s="21" t="e">
        <f ca="1">G6*Premissas!G$11</f>
        <v>#VALUE!</v>
      </c>
      <c r="H10" s="21" t="e">
        <f ca="1">H6*Premissas!H$11</f>
        <v>#VALUE!</v>
      </c>
    </row>
    <row r="11" spans="1:12" x14ac:dyDescent="0.25">
      <c r="B11" s="1" t="s">
        <v>101</v>
      </c>
      <c r="D11" s="21" t="e">
        <f ca="1">-D6*Premissas!D$12</f>
        <v>#VALUE!</v>
      </c>
      <c r="E11" s="21" t="e">
        <f ca="1">-E6*Premissas!E$12</f>
        <v>#VALUE!</v>
      </c>
      <c r="F11" s="21" t="e">
        <f ca="1">-F6*Premissas!F$12</f>
        <v>#VALUE!</v>
      </c>
      <c r="G11" s="21" t="e">
        <f ca="1">-G6*Premissas!G$12</f>
        <v>#VALUE!</v>
      </c>
      <c r="H11" s="21" t="e">
        <f ca="1">-H6*Premissas!H$12</f>
        <v>#VALUE!</v>
      </c>
    </row>
    <row r="12" spans="1:12" x14ac:dyDescent="0.25">
      <c r="B12" s="1" t="s">
        <v>102</v>
      </c>
      <c r="D12" s="21" t="e">
        <f ca="1">-(D6-C6)*Premissas!D$13</f>
        <v>#VALUE!</v>
      </c>
      <c r="E12" s="21" t="e">
        <f ca="1">-(E6-D6)*Premissas!E$13</f>
        <v>#VALUE!</v>
      </c>
      <c r="F12" s="21" t="e">
        <f ca="1">-(F6-E6)*Premissas!F$13</f>
        <v>#VALUE!</v>
      </c>
      <c r="G12" s="21" t="e">
        <f ca="1">-(G6-F6)*Premissas!G$13</f>
        <v>#VALUE!</v>
      </c>
      <c r="H12" s="21" t="e">
        <f ca="1">-(H6-G6)*Premissas!H$13</f>
        <v>#VALUE!</v>
      </c>
    </row>
    <row r="13" spans="1:12" x14ac:dyDescent="0.25">
      <c r="B13" s="6" t="s">
        <v>103</v>
      </c>
      <c r="C13" s="6"/>
      <c r="D13" s="29" t="e">
        <f ca="1">D9+D10+D11+D12</f>
        <v>#VALUE!</v>
      </c>
      <c r="E13" s="29" t="e">
        <f ca="1">E9+E10+E11+E12</f>
        <v>#VALUE!</v>
      </c>
      <c r="F13" s="29" t="e">
        <f ca="1">F9+F10+F11+F12</f>
        <v>#VALUE!</v>
      </c>
      <c r="G13" s="29" t="e">
        <f ca="1">G9+G10+G11+G12</f>
        <v>#VALUE!</v>
      </c>
      <c r="H13" s="29" t="e">
        <f ca="1">H9+H10+H11+H12</f>
        <v>#VALUE!</v>
      </c>
    </row>
    <row r="14" spans="1:12" x14ac:dyDescent="0.25">
      <c r="B14" s="1" t="s">
        <v>104</v>
      </c>
      <c r="D14" s="28">
        <f>1/(1+Premissas!$D$23)^1</f>
        <v>0.87035989381609302</v>
      </c>
      <c r="E14" s="28">
        <f>1/(1+Premissas!$D$23)^2</f>
        <v>0.75752634476356062</v>
      </c>
      <c r="F14" s="28">
        <f>1/(1+Premissas!$D$23)^3</f>
        <v>0.65932054899130577</v>
      </c>
      <c r="G14" s="28">
        <f>1/(1+Premissas!$D$23)^4</f>
        <v>0.57384616301084101</v>
      </c>
      <c r="H14" s="28">
        <f>1/(1+Premissas!$D$23)^5</f>
        <v>0.49945268550488792</v>
      </c>
    </row>
    <row r="15" spans="1:12" x14ac:dyDescent="0.25">
      <c r="B15" s="1" t="s">
        <v>105</v>
      </c>
      <c r="D15" s="21" t="e">
        <f ca="1">D13*D14</f>
        <v>#VALUE!</v>
      </c>
      <c r="E15" s="21" t="e">
        <f ca="1">E13*E14</f>
        <v>#VALUE!</v>
      </c>
      <c r="F15" s="21" t="e">
        <f ca="1">F13*F14</f>
        <v>#VALUE!</v>
      </c>
      <c r="G15" s="21" t="e">
        <f ca="1">G13*G14</f>
        <v>#VALUE!</v>
      </c>
      <c r="H15" s="21" t="e">
        <f ca="1">H13*H14</f>
        <v>#VALUE!</v>
      </c>
    </row>
    <row r="17" spans="2:4" x14ac:dyDescent="0.25">
      <c r="B17" s="7" t="s">
        <v>106</v>
      </c>
    </row>
    <row r="18" spans="2:4" x14ac:dyDescent="0.25">
      <c r="B18" s="1" t="s">
        <v>107</v>
      </c>
      <c r="D18" s="21" t="e">
        <f ca="1">SUM(D15:H15)</f>
        <v>#VALUE!</v>
      </c>
    </row>
    <row r="19" spans="2:4" x14ac:dyDescent="0.25">
      <c r="B19" s="1" t="s">
        <v>108</v>
      </c>
      <c r="D19" s="21" t="e">
        <f ca="1">IF(Premissas!$D$24&gt;=Premissas!$D$23,"Crescimento perpétuo acima da taxa",H13*(1+Premissas!$D$24)/(Premissas!$D$23-Premissas!$D$24))</f>
        <v>#VALUE!</v>
      </c>
    </row>
    <row r="20" spans="2:4" x14ac:dyDescent="0.25">
      <c r="B20" s="1" t="s">
        <v>109</v>
      </c>
      <c r="D20" s="21" t="str">
        <f ca="1">IFERROR(D19*H14,"")</f>
        <v/>
      </c>
    </row>
    <row r="21" spans="2:4" x14ac:dyDescent="0.25">
      <c r="B21" s="1" t="s">
        <v>110</v>
      </c>
      <c r="D21" s="21" t="str">
        <f ca="1">IFERROR(D18+D20,"")</f>
        <v/>
      </c>
    </row>
    <row r="22" spans="2:4" x14ac:dyDescent="0.25">
      <c r="B22" s="1" t="s">
        <v>111</v>
      </c>
      <c r="D22" s="14" t="str">
        <f ca="1">IFERROR(D20/D21,"")</f>
        <v/>
      </c>
    </row>
    <row r="23" spans="2:4" x14ac:dyDescent="0.25">
      <c r="B23" s="1" t="s">
        <v>112</v>
      </c>
      <c r="D23" s="21">
        <f ca="1">-N(Historico!$D$23)</f>
        <v>0</v>
      </c>
    </row>
    <row r="24" spans="2:4" x14ac:dyDescent="0.25">
      <c r="B24" s="1" t="s">
        <v>113</v>
      </c>
      <c r="D24" s="21" t="str">
        <f ca="1">IFERROR(D21+D23,"")</f>
        <v/>
      </c>
    </row>
    <row r="25" spans="2:4" x14ac:dyDescent="0.25">
      <c r="B25" s="1" t="s">
        <v>70</v>
      </c>
      <c r="D25" s="30" t="str">
        <f ca="1">Historico!$D$29</f>
        <v/>
      </c>
    </row>
    <row r="27" spans="2:4" ht="17.25" x14ac:dyDescent="0.3">
      <c r="B27" s="6" t="s">
        <v>10</v>
      </c>
      <c r="C27" s="6"/>
      <c r="D27" s="31" t="str">
        <f ca="1">IFERROR(D24/D25,"")</f>
        <v/>
      </c>
    </row>
    <row r="28" spans="2:4" x14ac:dyDescent="0.25">
      <c r="B28" s="1" t="s">
        <v>11</v>
      </c>
      <c r="D28" s="13" t="str">
        <f ca="1">Mercado!$D$5</f>
        <v/>
      </c>
    </row>
    <row r="29" spans="2:4" x14ac:dyDescent="0.25">
      <c r="B29" s="1" t="s">
        <v>114</v>
      </c>
      <c r="D29" s="14" t="str">
        <f ca="1">IFERROR(D27/D28-1,"")</f>
        <v/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0B2B3-9CA5-459E-A90F-D4B7BE032CE7}">
  <dimension ref="A1:L16"/>
  <sheetViews>
    <sheetView showGridLines="0" workbookViewId="0"/>
  </sheetViews>
  <sheetFormatPr defaultRowHeight="14.25" x14ac:dyDescent="0.25"/>
  <cols>
    <col min="1" max="1" width="2.7109375" style="1" customWidth="1"/>
    <col min="2" max="2" width="30.7109375" style="1" customWidth="1"/>
    <col min="3" max="8" width="11.7109375" style="1" customWidth="1"/>
    <col min="9" max="16384" width="9.140625" style="1"/>
  </cols>
  <sheetData>
    <row r="1" spans="1:12" ht="24" customHeight="1" x14ac:dyDescent="0.35">
      <c r="A1" s="2"/>
      <c r="B1" s="3" t="s">
        <v>0</v>
      </c>
      <c r="C1" s="4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116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1" t="s">
        <v>117</v>
      </c>
      <c r="D4" s="26">
        <v>0.01</v>
      </c>
    </row>
    <row r="5" spans="1:12" x14ac:dyDescent="0.25">
      <c r="B5" s="1" t="s">
        <v>118</v>
      </c>
      <c r="D5" s="26">
        <v>5.0000000000000001E-3</v>
      </c>
    </row>
    <row r="7" spans="1:12" x14ac:dyDescent="0.25">
      <c r="B7" s="7" t="s">
        <v>119</v>
      </c>
      <c r="D7" s="32">
        <f>Premissas!$D$24+(-2)*$D$5</f>
        <v>0.03</v>
      </c>
      <c r="E7" s="32">
        <f>Premissas!$D$24+(-1)*$D$5</f>
        <v>3.5000000000000003E-2</v>
      </c>
      <c r="F7" s="32">
        <f>Premissas!$D$24+(0)*$D$5</f>
        <v>0.04</v>
      </c>
      <c r="G7" s="32">
        <f>Premissas!$D$24+(1)*$D$5</f>
        <v>4.4999999999999998E-2</v>
      </c>
      <c r="H7" s="32">
        <f>Premissas!$D$24+(2)*$D$5</f>
        <v>0.05</v>
      </c>
    </row>
    <row r="8" spans="1:12" x14ac:dyDescent="0.25">
      <c r="C8" s="33">
        <f>Premissas!$D$23+(-2)*$D$4</f>
        <v>0.12895000000000001</v>
      </c>
      <c r="D8" s="12" t="str" cm="1">
        <f t="array" aca="1" ref="D8" ca="1">_xlfn.LET(_xlpm.w,$C8,_xlpm.g,D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E8" s="12" t="str" cm="1">
        <f t="array" aca="1" ref="E8" ca="1">_xlfn.LET(_xlpm.w,$C8,_xlpm.g,E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F8" s="12" t="str" cm="1">
        <f t="array" aca="1" ref="F8" ca="1">_xlfn.LET(_xlpm.w,$C8,_xlpm.g,F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G8" s="12" t="str" cm="1">
        <f t="array" aca="1" ref="G8" ca="1">_xlfn.LET(_xlpm.w,$C8,_xlpm.g,G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H8" s="12" t="str" cm="1">
        <f t="array" aca="1" ref="H8" ca="1">_xlfn.LET(_xlpm.w,$C8,_xlpm.g,H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</row>
    <row r="9" spans="1:12" x14ac:dyDescent="0.25">
      <c r="C9" s="35">
        <f>Premissas!$D$23+(-1)*$D$4</f>
        <v>0.13894999999999999</v>
      </c>
      <c r="D9" s="12" t="str" cm="1">
        <f t="array" aca="1" ref="D9" ca="1">_xlfn.LET(_xlpm.w,$C9,_xlpm.g,D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E9" s="12" t="str" cm="1">
        <f t="array" aca="1" ref="E9" ca="1">_xlfn.LET(_xlpm.w,$C9,_xlpm.g,E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F9" s="12" t="str" cm="1">
        <f t="array" aca="1" ref="F9" ca="1">_xlfn.LET(_xlpm.w,$C9,_xlpm.g,F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G9" s="12" t="str" cm="1">
        <f t="array" aca="1" ref="G9" ca="1">_xlfn.LET(_xlpm.w,$C9,_xlpm.g,G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H9" s="12" t="str" cm="1">
        <f t="array" aca="1" ref="H9" ca="1">_xlfn.LET(_xlpm.w,$C9,_xlpm.g,H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</row>
    <row r="10" spans="1:12" x14ac:dyDescent="0.25">
      <c r="C10" s="35">
        <f>Premissas!$D$23+(0)*$D$4</f>
        <v>0.14895</v>
      </c>
      <c r="D10" s="12" t="str" cm="1">
        <f t="array" aca="1" ref="D10" ca="1">_xlfn.LET(_xlpm.w,$C10,_xlpm.g,D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E10" s="12" t="str" cm="1">
        <f t="array" aca="1" ref="E10" ca="1">_xlfn.LET(_xlpm.w,$C10,_xlpm.g,E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F10" s="36" t="str" cm="1">
        <f t="array" aca="1" ref="F10" ca="1">_xlfn.LET(_xlpm.w,$C10,_xlpm.g,F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G10" s="12" t="str" cm="1">
        <f t="array" aca="1" ref="G10" ca="1">_xlfn.LET(_xlpm.w,$C10,_xlpm.g,G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H10" s="12" t="str" cm="1">
        <f t="array" aca="1" ref="H10" ca="1">_xlfn.LET(_xlpm.w,$C10,_xlpm.g,H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</row>
    <row r="11" spans="1:12" x14ac:dyDescent="0.25">
      <c r="C11" s="35">
        <f>Premissas!$D$23+(1)*$D$4</f>
        <v>0.15895000000000001</v>
      </c>
      <c r="D11" s="12" t="str" cm="1">
        <f t="array" aca="1" ref="D11" ca="1">_xlfn.LET(_xlpm.w,$C11,_xlpm.g,D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E11" s="12" t="str" cm="1">
        <f t="array" aca="1" ref="E11" ca="1">_xlfn.LET(_xlpm.w,$C11,_xlpm.g,E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F11" s="12" t="str" cm="1">
        <f t="array" aca="1" ref="F11" ca="1">_xlfn.LET(_xlpm.w,$C11,_xlpm.g,F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G11" s="12" t="str" cm="1">
        <f t="array" aca="1" ref="G11" ca="1">_xlfn.LET(_xlpm.w,$C11,_xlpm.g,G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H11" s="12" t="str" cm="1">
        <f t="array" aca="1" ref="H11" ca="1">_xlfn.LET(_xlpm.w,$C11,_xlpm.g,H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</row>
    <row r="12" spans="1:12" x14ac:dyDescent="0.25">
      <c r="C12" s="34">
        <f>Premissas!$D$23+(2)*$D$4</f>
        <v>0.16894999999999999</v>
      </c>
      <c r="D12" s="12" t="str" cm="1">
        <f t="array" aca="1" ref="D12" ca="1">_xlfn.LET(_xlpm.w,$C12,_xlpm.g,D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E12" s="12" t="str" cm="1">
        <f t="array" aca="1" ref="E12" ca="1">_xlfn.LET(_xlpm.w,$C12,_xlpm.g,E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F12" s="12" t="str" cm="1">
        <f t="array" aca="1" ref="F12" ca="1">_xlfn.LET(_xlpm.w,$C12,_xlpm.g,F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G12" s="12" t="str" cm="1">
        <f t="array" aca="1" ref="G12" ca="1">_xlfn.LET(_xlpm.w,$C12,_xlpm.g,G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  <c r="H12" s="12" t="str" cm="1">
        <f t="array" aca="1" ref="H12" ca="1">_xlfn.LET(_xlpm.w,$C12,_xlpm.g,H$7,_xlpm.f,Projecao!$D$13:$H$13,_xlpm.t,_xlfn.SEQUENCE(1,5),_xlpm.pv,SUM(_xlpm.f/(1+_xlpm.w)^_xlpm.t),_xlpm.tv,IF(_xlpm.g&gt;=_xlpm.w,NA(),INDEX(_xlpm.f,5)*(1+_xlpm.g)/(_xlpm.w-_xlpm.g)/(1+_xlpm.w)^5),IFERROR((_xlpm.pv+_xlpm.tv+Projecao!$D$23)/Projecao!$D$25,""))</f>
        <v/>
      </c>
    </row>
    <row r="16" spans="1:12" x14ac:dyDescent="0.25">
      <c r="B16" s="9" t="s">
        <v>120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432E-EA07-49BE-B594-83B301B7DC44}">
  <dimension ref="A1:L5"/>
  <sheetViews>
    <sheetView showGridLines="0" workbookViewId="0"/>
  </sheetViews>
  <sheetFormatPr defaultRowHeight="14.25" x14ac:dyDescent="0.25"/>
  <cols>
    <col min="1" max="1" width="2.7109375" style="1" customWidth="1"/>
    <col min="2" max="2" width="14.7109375" style="1" customWidth="1"/>
    <col min="3" max="3" width="46.7109375" style="1" customWidth="1"/>
    <col min="4" max="12" width="16.7109375" style="17" customWidth="1"/>
    <col min="13" max="16384" width="9.140625" style="1"/>
  </cols>
  <sheetData>
    <row r="1" spans="1:12" ht="24" customHeight="1" x14ac:dyDescent="0.35">
      <c r="A1" s="2"/>
      <c r="B1" s="3" t="s">
        <v>0</v>
      </c>
      <c r="C1" s="4" t="s">
        <v>31</v>
      </c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5">
      <c r="A2" s="2"/>
      <c r="B2" s="2"/>
      <c r="C2" s="5" t="s">
        <v>32</v>
      </c>
      <c r="D2" s="16"/>
      <c r="E2" s="16"/>
      <c r="F2" s="16"/>
      <c r="G2" s="16"/>
      <c r="H2" s="16"/>
      <c r="I2" s="16"/>
      <c r="J2" s="16"/>
      <c r="K2" s="16"/>
      <c r="L2" s="16"/>
    </row>
    <row r="4" spans="1:12" x14ac:dyDescent="0.25">
      <c r="B4" s="9" t="s">
        <v>33</v>
      </c>
    </row>
    <row r="5" spans="1:12" x14ac:dyDescent="0.25">
      <c r="B5" s="10" t="e" cm="1">
        <f t="array" aca="1" ref="B5" ca="1">Fintay_Demonstrativos(Inicio!$D$6,1,4,Inicio!$D$7,1,,,"",3)</f>
        <v>#NAME?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E70BA-7E44-4824-8AC7-7086553059E0}">
  <dimension ref="A1:L5"/>
  <sheetViews>
    <sheetView showGridLines="0" workbookViewId="0"/>
  </sheetViews>
  <sheetFormatPr defaultRowHeight="14.25" x14ac:dyDescent="0.25"/>
  <cols>
    <col min="1" max="1" width="2.7109375" style="1" customWidth="1"/>
    <col min="2" max="2" width="14.7109375" style="1" customWidth="1"/>
    <col min="3" max="3" width="46.7109375" style="1" customWidth="1"/>
    <col min="4" max="12" width="16.7109375" style="17" customWidth="1"/>
    <col min="13" max="16384" width="9.140625" style="1"/>
  </cols>
  <sheetData>
    <row r="1" spans="1:12" ht="24" customHeight="1" x14ac:dyDescent="0.35">
      <c r="A1" s="2"/>
      <c r="B1" s="3" t="s">
        <v>0</v>
      </c>
      <c r="C1" s="4" t="s">
        <v>36</v>
      </c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5">
      <c r="A2" s="2"/>
      <c r="B2" s="2"/>
      <c r="C2" s="5" t="s">
        <v>35</v>
      </c>
      <c r="D2" s="16"/>
      <c r="E2" s="16"/>
      <c r="F2" s="16"/>
      <c r="G2" s="16"/>
      <c r="H2" s="16"/>
      <c r="I2" s="16"/>
      <c r="J2" s="16"/>
      <c r="K2" s="16"/>
      <c r="L2" s="16"/>
    </row>
    <row r="4" spans="1:12" x14ac:dyDescent="0.25">
      <c r="B4" s="9" t="s">
        <v>33</v>
      </c>
    </row>
    <row r="5" spans="1:12" x14ac:dyDescent="0.25">
      <c r="B5" s="10" t="e" cm="1">
        <f t="array" aca="1" ref="B5" ca="1">Fintay_Demonstrativos(Inicio!$D$6,3,4,Inicio!$D$7,1,,,"",3)</f>
        <v>#NAME?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BF9D-DB8C-49A8-9E9B-5AEADD9FC313}">
  <dimension ref="A1:L5"/>
  <sheetViews>
    <sheetView showGridLines="0" workbookViewId="0"/>
  </sheetViews>
  <sheetFormatPr defaultRowHeight="14.25" x14ac:dyDescent="0.25"/>
  <cols>
    <col min="1" max="1" width="2.7109375" style="1" customWidth="1"/>
    <col min="2" max="2" width="14.7109375" style="1" customWidth="1"/>
    <col min="3" max="3" width="46.7109375" style="1" customWidth="1"/>
    <col min="4" max="12" width="16.7109375" style="17" customWidth="1"/>
    <col min="13" max="16384" width="9.140625" style="1"/>
  </cols>
  <sheetData>
    <row r="1" spans="1:12" ht="24" customHeight="1" x14ac:dyDescent="0.35">
      <c r="A1" s="2"/>
      <c r="B1" s="3" t="s">
        <v>0</v>
      </c>
      <c r="C1" s="4" t="s">
        <v>34</v>
      </c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5">
      <c r="A2" s="2"/>
      <c r="B2" s="2"/>
      <c r="C2" s="5" t="s">
        <v>35</v>
      </c>
      <c r="D2" s="16"/>
      <c r="E2" s="16"/>
      <c r="F2" s="16"/>
      <c r="G2" s="16"/>
      <c r="H2" s="16"/>
      <c r="I2" s="16"/>
      <c r="J2" s="16"/>
      <c r="K2" s="16"/>
      <c r="L2" s="16"/>
    </row>
    <row r="4" spans="1:12" x14ac:dyDescent="0.25">
      <c r="B4" s="9" t="s">
        <v>33</v>
      </c>
    </row>
    <row r="5" spans="1:12" x14ac:dyDescent="0.25">
      <c r="B5" s="10" t="e" cm="1">
        <f t="array" aca="1" ref="B5" ca="1">Fintay_Demonstrativos(Inicio!$D$6,2,4,Inicio!$D$7,1,,,"",3)</f>
        <v>#NAME?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E2B1A-8B13-44FC-9602-933D3A7DB92D}">
  <dimension ref="A1:L5"/>
  <sheetViews>
    <sheetView showGridLines="0" workbookViewId="0"/>
  </sheetViews>
  <sheetFormatPr defaultRowHeight="14.25" x14ac:dyDescent="0.25"/>
  <cols>
    <col min="1" max="1" width="2.7109375" style="1" customWidth="1"/>
    <col min="2" max="2" width="14.7109375" style="1" customWidth="1"/>
    <col min="3" max="3" width="46.7109375" style="1" customWidth="1"/>
    <col min="4" max="12" width="16.7109375" style="17" customWidth="1"/>
    <col min="13" max="16384" width="9.140625" style="1"/>
  </cols>
  <sheetData>
    <row r="1" spans="1:12" ht="24" customHeight="1" x14ac:dyDescent="0.35">
      <c r="A1" s="2"/>
      <c r="B1" s="3" t="s">
        <v>0</v>
      </c>
      <c r="C1" s="4" t="s">
        <v>37</v>
      </c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5">
      <c r="A2" s="2"/>
      <c r="B2" s="2"/>
      <c r="C2" s="5" t="s">
        <v>38</v>
      </c>
      <c r="D2" s="16"/>
      <c r="E2" s="16"/>
      <c r="F2" s="16"/>
      <c r="G2" s="16"/>
      <c r="H2" s="16"/>
      <c r="I2" s="16"/>
      <c r="J2" s="16"/>
      <c r="K2" s="16"/>
      <c r="L2" s="16"/>
    </row>
    <row r="4" spans="1:12" x14ac:dyDescent="0.25">
      <c r="B4" s="9" t="s">
        <v>33</v>
      </c>
    </row>
    <row r="5" spans="1:12" x14ac:dyDescent="0.25">
      <c r="B5" s="10" t="e" cm="1">
        <f t="array" aca="1" ref="B5" ca="1">Fintay_Demonstrativos(Inicio!$D$6,4,4,Inicio!$D$7,1,,,"",3)</f>
        <v>#NAME?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03E25-5447-469B-BC5B-8CAB575EB748}">
  <dimension ref="A1:L13"/>
  <sheetViews>
    <sheetView showGridLines="0" workbookViewId="0"/>
  </sheetViews>
  <sheetFormatPr defaultRowHeight="14.25" x14ac:dyDescent="0.25"/>
  <cols>
    <col min="1" max="1" width="2.7109375" style="1" customWidth="1"/>
    <col min="2" max="16" width="15.7109375" style="1" customWidth="1"/>
    <col min="17" max="16384" width="9.140625" style="1"/>
  </cols>
  <sheetData>
    <row r="1" spans="1:12" ht="24" customHeight="1" x14ac:dyDescent="0.35">
      <c r="A1" s="2"/>
      <c r="B1" s="3" t="s">
        <v>0</v>
      </c>
      <c r="C1" s="4" t="s">
        <v>39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40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9" t="s">
        <v>41</v>
      </c>
    </row>
    <row r="5" spans="1:12" x14ac:dyDescent="0.25">
      <c r="B5" s="1" t="s">
        <v>11</v>
      </c>
      <c r="D5" s="13" t="str">
        <f ca="1">IFERROR(INDEX(_xlfn.TAKE(Fintay_B3(Inicio!$D$6,TODAY()-20),-1),1,2),"")</f>
        <v/>
      </c>
    </row>
    <row r="6" spans="1:12" x14ac:dyDescent="0.25">
      <c r="B6" s="1" t="s">
        <v>42</v>
      </c>
      <c r="D6" s="18" t="str">
        <f ca="1">IFERROR(INDEX(_xlfn.TAKE(Fintay_B3(Inicio!$D$6,TODAY()-20),-1),1,1),"")</f>
        <v/>
      </c>
    </row>
    <row r="8" spans="1:12" x14ac:dyDescent="0.25">
      <c r="B8" s="7" t="s">
        <v>43</v>
      </c>
    </row>
    <row r="9" spans="1:12" x14ac:dyDescent="0.25">
      <c r="B9" s="10" t="e" cm="1">
        <f t="array" aca="1" ref="B9" ca="1">Fintay_B3_Fundamentos_Completos(Inicio!$D$6,1,"snapshot_date,market_cap,beta")</f>
        <v>#NAME?</v>
      </c>
    </row>
    <row r="12" spans="1:12" x14ac:dyDescent="0.25">
      <c r="B12" s="7" t="s">
        <v>44</v>
      </c>
    </row>
    <row r="13" spans="1:12" x14ac:dyDescent="0.25">
      <c r="B13" s="10" t="e" cm="1">
        <f t="array" aca="1" ref="B13" ca="1">Fintay_B3_Perfil(Inicio!$D$6)</f>
        <v>#NAME?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Inicio</vt:lpstr>
      <vt:lpstr>Premissas</vt:lpstr>
      <vt:lpstr>Historico</vt:lpstr>
      <vt:lpstr>Projecao</vt:lpstr>
      <vt:lpstr>Sensibilidade</vt:lpstr>
      <vt:lpstr>DRE</vt:lpstr>
      <vt:lpstr>Passivo</vt:lpstr>
      <vt:lpstr>Ativo</vt:lpstr>
      <vt:lpstr>Caixa</vt:lpstr>
      <vt:lpstr>Mercado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Rodrigues de Souza Simões</dc:creator>
  <cp:lastModifiedBy>Thiago Rodrigues de Souza Simões</cp:lastModifiedBy>
  <dcterms:created xsi:type="dcterms:W3CDTF">2026-10-15T15:14:11Z</dcterms:created>
  <dcterms:modified xsi:type="dcterms:W3CDTF">2026-10-15T15:14:25Z</dcterms:modified>
</cp:coreProperties>
</file>