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roton Drive\My files\Projetos\ObenTech\ObenPlatform\web\public\modelos\"/>
    </mc:Choice>
  </mc:AlternateContent>
  <xr:revisionPtr revIDLastSave="0" documentId="8_{45BC62DF-59AF-4999-B086-8E12FF0C8AA0}" xr6:coauthVersionLast="47" xr6:coauthVersionMax="47" xr10:uidLastSave="{00000000-0000-0000-0000-000000000000}"/>
  <bookViews>
    <workbookView xWindow="-28920" yWindow="15" windowWidth="29040" windowHeight="15840" xr2:uid="{9A4EE2D4-2084-4E70-8D34-1036B741A237}"/>
  </bookViews>
  <sheets>
    <sheet name="Inicio" sheetId="1" r:id="rId1"/>
    <sheet name="Analise" sheetId="2" r:id="rId2"/>
    <sheet name="Multiplos" sheetId="3" r:id="rId3"/>
    <sheet name="DRE" sheetId="4" r:id="rId4"/>
    <sheet name="Ativo" sheetId="5" r:id="rId5"/>
    <sheet name="Passivo" sheetId="6" r:id="rId6"/>
    <sheet name="Caixa" sheetId="7" r:id="rId7"/>
    <sheet name="Mercado" sheetId="8" r:id="rId8"/>
  </sheets>
  <calcPr fullCalcOnLoad="1"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D8" i="2" l="1"/>
  <c r="B13" i="8" a="1"/>
  <c r="D8" i="1" s="1"/>
  <c r="B4" i="2" s="1"/>
  <c r="B9" i="8" a="1"/>
  <c r="D10" i="3" s="1"/>
  <c r="D6" i="8"/>
  <c r="D5" i="8"/>
  <c r="D5" i="3" s="1"/>
  <c r="B5" i="7" a="1"/>
  <c r="B5" i="6" a="1"/>
  <c r="B5" i="5" a="1"/>
  <c r="B5" i="4" a="1"/>
  <c r="D8" i="3" l="1"/>
  <c r="D9" i="3"/>
  <c r="D6" i="3"/>
  <c r="D7" i="3"/>
  <c r="J5" i="2" a="1"/>
  <c r="J33" i="2" s="1"/>
  <c r="K5" i="2" a="1"/>
  <c r="K33" i="2" s="1"/>
  <c r="H5" i="2" a="1"/>
  <c r="H33" i="2" s="1"/>
  <c r="I5" i="2" a="1"/>
  <c r="I33" i="2" s="1"/>
  <c r="F5" i="2" a="1"/>
  <c r="F33" i="2" s="1"/>
  <c r="G5" i="2" a="1"/>
  <c r="G33" i="2" s="1"/>
  <c r="D5" i="2" a="1"/>
  <c r="E5" i="2" a="1"/>
  <c r="E33" i="2" s="1"/>
  <c r="D19" i="3" l="1" a="1"/>
  <c r="D18" i="3" a="1"/>
  <c r="D14" i="3" a="1"/>
  <c r="D15" i="3" s="1"/>
  <c r="D33" i="2"/>
  <c r="D13" i="3" a="1"/>
  <c r="J31" i="2" a="1"/>
  <c r="J32" i="2"/>
  <c r="K31" i="2" a="1"/>
  <c r="K32" i="2"/>
  <c r="H31" i="2" a="1"/>
  <c r="H32" i="2"/>
  <c r="I31" i="2" a="1"/>
  <c r="I32" i="2"/>
  <c r="F31" i="2" a="1"/>
  <c r="F32" i="2"/>
  <c r="G31" i="2" a="1"/>
  <c r="G32" i="2"/>
  <c r="D31" i="2" a="1"/>
  <c r="D32" i="2"/>
  <c r="E31" i="2" a="1"/>
  <c r="E32" i="2"/>
  <c r="J29" i="2" a="1"/>
  <c r="J30" i="2" a="1"/>
  <c r="K29" i="2" a="1"/>
  <c r="K30" i="2" a="1"/>
  <c r="H29" i="2" a="1"/>
  <c r="H30" i="2" a="1"/>
  <c r="I29" i="2" a="1"/>
  <c r="I30" i="2" a="1"/>
  <c r="F29" i="2" a="1"/>
  <c r="F30" i="2" a="1"/>
  <c r="G29" i="2" a="1"/>
  <c r="G30" i="2" a="1"/>
  <c r="D29" i="2" a="1"/>
  <c r="D30" i="2" a="1"/>
  <c r="E29" i="2" a="1"/>
  <c r="E30" i="2" a="1"/>
  <c r="J26" i="2"/>
  <c r="J27" i="2"/>
  <c r="K26" i="2"/>
  <c r="K27" i="2"/>
  <c r="H26" i="2"/>
  <c r="H27" i="2"/>
  <c r="I26" i="2"/>
  <c r="I27" i="2"/>
  <c r="F26" i="2"/>
  <c r="F27" i="2"/>
  <c r="G26" i="2"/>
  <c r="G27" i="2"/>
  <c r="D26" i="2"/>
  <c r="E26" i="2"/>
  <c r="E27" i="2"/>
  <c r="J24" i="2" a="1"/>
  <c r="J25" i="2"/>
  <c r="K24" i="2" a="1"/>
  <c r="K25" i="2"/>
  <c r="H24" i="2" a="1"/>
  <c r="H25" i="2"/>
  <c r="I24" i="2" a="1"/>
  <c r="I25" i="2"/>
  <c r="F24" i="2" a="1"/>
  <c r="F25" i="2"/>
  <c r="G24" i="2" a="1"/>
  <c r="G25" i="2"/>
  <c r="D24" i="2" a="1"/>
  <c r="D25" i="2"/>
  <c r="E24" i="2" a="1"/>
  <c r="E25" i="2"/>
  <c r="J22" i="2" a="1"/>
  <c r="J23" i="2"/>
  <c r="K22" i="2" a="1"/>
  <c r="K23" i="2"/>
  <c r="H22" i="2" a="1"/>
  <c r="H23" i="2"/>
  <c r="I22" i="2" a="1"/>
  <c r="I23" i="2"/>
  <c r="F22" i="2" a="1"/>
  <c r="F23" i="2"/>
  <c r="G22" i="2" a="1"/>
  <c r="G23" i="2"/>
  <c r="D22" i="2" a="1"/>
  <c r="D23" i="2"/>
  <c r="E22" i="2" a="1"/>
  <c r="E23" i="2"/>
  <c r="J20" i="2" a="1"/>
  <c r="J21" i="2" a="1"/>
  <c r="K20" i="2" a="1"/>
  <c r="K21" i="2" a="1"/>
  <c r="H20" i="2" a="1"/>
  <c r="H21" i="2" a="1"/>
  <c r="I20" i="2" a="1"/>
  <c r="I21" i="2" a="1"/>
  <c r="F20" i="2" a="1"/>
  <c r="F21" i="2" a="1"/>
  <c r="G20" i="2" a="1"/>
  <c r="G21" i="2" a="1"/>
  <c r="D20" i="2" a="1"/>
  <c r="D21" i="2" a="1"/>
  <c r="E20" i="2" a="1"/>
  <c r="E21" i="2" a="1"/>
  <c r="J17" i="2" a="1"/>
  <c r="J18" i="2"/>
  <c r="K17" i="2" a="1"/>
  <c r="K18" i="2"/>
  <c r="H17" i="2" a="1"/>
  <c r="H18" i="2"/>
  <c r="I17" i="2" a="1"/>
  <c r="I18" i="2"/>
  <c r="F17" i="2" a="1"/>
  <c r="F18" i="2"/>
  <c r="G17" i="2" a="1"/>
  <c r="G18" i="2"/>
  <c r="D17" i="2" a="1"/>
  <c r="D18" i="2"/>
  <c r="E17" i="2" a="1"/>
  <c r="E18" i="2"/>
  <c r="J15" i="2"/>
  <c r="J16" i="2" a="1"/>
  <c r="K15" i="2"/>
  <c r="K16" i="2" a="1"/>
  <c r="H15" i="2"/>
  <c r="H16" i="2" a="1"/>
  <c r="I15" i="2"/>
  <c r="I16" i="2" a="1"/>
  <c r="F15" i="2"/>
  <c r="F16" i="2" a="1"/>
  <c r="G15" i="2"/>
  <c r="G16" i="2" a="1"/>
  <c r="D15" i="2"/>
  <c r="D16" i="2" a="1"/>
  <c r="E15" i="2"/>
  <c r="E16" i="2" a="1"/>
  <c r="J13" i="2" a="1"/>
  <c r="J14" i="2"/>
  <c r="K13" i="2" a="1"/>
  <c r="K14" i="2"/>
  <c r="H13" i="2" a="1"/>
  <c r="H14" i="2"/>
  <c r="I13" i="2" a="1"/>
  <c r="I14" i="2"/>
  <c r="F13" i="2" a="1"/>
  <c r="F14" i="2"/>
  <c r="G13" i="2" a="1"/>
  <c r="G14" i="2"/>
  <c r="D13" i="2" a="1"/>
  <c r="D14" i="2"/>
  <c r="E13" i="2" a="1"/>
  <c r="E14" i="2"/>
  <c r="J11" i="2" a="1"/>
  <c r="J12" i="2"/>
  <c r="K11" i="2" a="1"/>
  <c r="K12" i="2"/>
  <c r="H11" i="2" a="1"/>
  <c r="H12" i="2"/>
  <c r="I11" i="2" a="1"/>
  <c r="I12" i="2"/>
  <c r="F11" i="2" a="1"/>
  <c r="F12" i="2"/>
  <c r="G11" i="2" a="1"/>
  <c r="G12" i="2"/>
  <c r="D11" i="2" a="1"/>
  <c r="D12" i="2"/>
  <c r="E11" i="2" a="1"/>
  <c r="E12" i="2"/>
  <c r="J9" i="2" a="1"/>
  <c r="J10" i="2"/>
  <c r="K9" i="2" a="1"/>
  <c r="K10" i="2"/>
  <c r="H9" i="2" a="1"/>
  <c r="H10" i="2"/>
  <c r="I9" i="2" a="1"/>
  <c r="I10" i="2"/>
  <c r="F9" i="2" a="1"/>
  <c r="F10" i="2"/>
  <c r="G9" i="2" a="1"/>
  <c r="G10" i="2"/>
  <c r="D9" i="2" a="1"/>
  <c r="D10" i="2"/>
  <c r="E9" i="2" a="1"/>
  <c r="E10" i="2"/>
  <c r="J7" i="2" a="1"/>
  <c r="J8" i="2"/>
  <c r="K7" i="2" a="1"/>
  <c r="K8" i="2"/>
  <c r="H7" i="2" a="1"/>
  <c r="H8" i="2"/>
  <c r="I7" i="2" a="1"/>
  <c r="I8" i="2"/>
  <c r="F7" i="2" a="1"/>
  <c r="F8" i="2"/>
  <c r="G7" i="2" a="1"/>
  <c r="G8" i="2"/>
  <c r="D7" i="2" a="1"/>
  <c r="E7" i="2" a="1"/>
  <c r="E8" i="2"/>
  <c r="D16" i="3" l="1" a="1"/>
  <c r="D17" i="3" a="1"/>
  <c r="D27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<sst xmlns="http://schemas.openxmlformats.org/spreadsheetml/2006/main" count="102" uniqueCount="90">
  <si>
    <t>fintay</t>
  </si>
  <si>
    <t>Análise de empresa</t>
  </si>
  <si>
    <t>Resultados, margens, dívida, caixa e múltiplos de uma companhia aberta, conectados à Fintay.</t>
  </si>
  <si>
    <t>Comece aqui</t>
  </si>
  <si>
    <t>Empresa (ticker)</t>
  </si>
  <si>
    <t>WEGE3</t>
  </si>
  <si>
    <t>Anos de histórico</t>
  </si>
  <si>
    <t>Troque o ticker e clique em Fintay &gt; Atualizar dados.</t>
  </si>
  <si>
    <t>De 2 a 8 anos de demonstrações anuais.</t>
  </si>
  <si>
    <t>Empresa</t>
  </si>
  <si>
    <t>Como usar</t>
  </si>
  <si>
    <t>1. Instale o suplemento Fintay para Excel e entre na sua conta (guia Fintay &gt; Entrar).</t>
  </si>
  <si>
    <t>2. Escreva o ticker na célula amarela. Os demonstrativos e os múltiplos são carregados nas abas azuis.</t>
  </si>
  <si>
    <t>3. Leia a aba Analise (resultados, margens, dívida e caixa) e a aba Multiplos.</t>
  </si>
  <si>
    <t>4. Salve uma cópia com outro nome para guardar a sua análise.</t>
  </si>
  <si>
    <t>Legenda</t>
  </si>
  <si>
    <t>Dados conectados</t>
  </si>
  <si>
    <t>Vêm da Fintay e mudam quando você clica em Fintay &gt; Atualizar dados.</t>
  </si>
  <si>
    <t>Suas entradas</t>
  </si>
  <si>
    <t>Ticker, datas e premissas. Atualizar os dados nunca sobrescreve estas células.</t>
  </si>
  <si>
    <t>Resultados</t>
  </si>
  <si>
    <t>Calculados a partir dos dados e das suas entradas.</t>
  </si>
  <si>
    <t>Fontes e unidades</t>
  </si>
  <si>
    <t>Demonstrações financeiras anuais (DFP) entregues à CVM, consolidadas, em R$ milhões. Cotação e múltiplos de mercado do último pregão disponível.</t>
  </si>
  <si>
    <t>Códigos de conta do padrão CVM para empresas não financeiras. Para bancos e seguradoras a estrutura das demonstrações é outra e os indicadores desta planilha não se aplicam.</t>
  </si>
  <si>
    <t>Informativo. Não constitui recomendação de investimento.</t>
  </si>
  <si>
    <t>Demonstração do resultado</t>
  </si>
  <si>
    <t>DRE anual consolidada, R$ milhões.</t>
  </si>
  <si>
    <t>Dados conectados. Não edite esta aba: as outras abas leem daqui.</t>
  </si>
  <si>
    <t>Balanço patrimonial: ativo</t>
  </si>
  <si>
    <t>Balanço anual consolidado, R$ milhões.</t>
  </si>
  <si>
    <t>Balanço patrimonial: passivo e PL</t>
  </si>
  <si>
    <t>Fluxo de caixa (método indireto)</t>
  </si>
  <si>
    <t>DFC anual consolidada, R$ milhões.</t>
  </si>
  <si>
    <t>Dados de mercado</t>
  </si>
  <si>
    <t>Último fechamento e múltiplos.</t>
  </si>
  <si>
    <t>Dados conectados. Não edite esta aba.</t>
  </si>
  <si>
    <t>Último fechamento (R$)</t>
  </si>
  <si>
    <t>Data do fechamento</t>
  </si>
  <si>
    <t>Fundamentos</t>
  </si>
  <si>
    <t>Perfil</t>
  </si>
  <si>
    <t>Análise</t>
  </si>
  <si>
    <t>Resultados, margens, endividamento e geração de caixa por ano. R$ milhões.</t>
  </si>
  <si>
    <t>Exercício</t>
  </si>
  <si>
    <t>Resultado</t>
  </si>
  <si>
    <t>Receita líquida</t>
  </si>
  <si>
    <t>Crescimento da receita</t>
  </si>
  <si>
    <t>Lucro bruto</t>
  </si>
  <si>
    <t>Margem bruta</t>
  </si>
  <si>
    <t>Resultado operacional (EBIT)</t>
  </si>
  <si>
    <t>Margem EBIT</t>
  </si>
  <si>
    <t>Depreciação e amortização</t>
  </si>
  <si>
    <t>EBITDA</t>
  </si>
  <si>
    <t>Margem EBITDA</t>
  </si>
  <si>
    <t>Resultado financeiro</t>
  </si>
  <si>
    <t>Lucro líquido consolidado</t>
  </si>
  <si>
    <t>Margem líquida</t>
  </si>
  <si>
    <t>Balanço</t>
  </si>
  <si>
    <t>Ativo total</t>
  </si>
  <si>
    <t>Caixa e aplicações</t>
  </si>
  <si>
    <t>Dívida bruta</t>
  </si>
  <si>
    <t>Dívida líquida</t>
  </si>
  <si>
    <t>Patrimônio líquido</t>
  </si>
  <si>
    <t>Dívida líquida / EBITDA</t>
  </si>
  <si>
    <t>Dívida líquida / PL</t>
  </si>
  <si>
    <t>ROE</t>
  </si>
  <si>
    <t>Caixa</t>
  </si>
  <si>
    <t>Caixa das operações</t>
  </si>
  <si>
    <t>Caixa de investimentos</t>
  </si>
  <si>
    <t>Caixa de financiamentos</t>
  </si>
  <si>
    <t>Operações + investimentos</t>
  </si>
  <si>
    <t>Conversão de caixa (operações / EBITDA)</t>
  </si>
  <si>
    <t>Colunas sem exercício ficam vazias. Crescimento e ROE usam o ano anterior; na primeira coluna o ROE usa o PL do próprio ano.</t>
  </si>
  <si>
    <t>Múltiplos</t>
  </si>
  <si>
    <t>Preço e valor de mercado contra resultados do último exercício.</t>
  </si>
  <si>
    <t>Mercado</t>
  </si>
  <si>
    <t>Valor de mercado (R$ milhões)</t>
  </si>
  <si>
    <t>P/L</t>
  </si>
  <si>
    <t>P/VP</t>
  </si>
  <si>
    <t>Dividend yield</t>
  </si>
  <si>
    <t>Beta</t>
  </si>
  <si>
    <t>Contra o último exercício</t>
  </si>
  <si>
    <t>Último exercício</t>
  </si>
  <si>
    <t>Dívida líquida (R$ milhões)</t>
  </si>
  <si>
    <t>Valor da firma (R$ milhões)</t>
  </si>
  <si>
    <t>Valor da firma / EBITDA</t>
  </si>
  <si>
    <t>Valor da firma / EBIT</t>
  </si>
  <si>
    <t>Preço / lucro do exercício</t>
  </si>
  <si>
    <t>Valor de mercado / caixa das operações</t>
  </si>
  <si>
    <t>O P/L de mercado usa o lucro dos últimos 12 meses; a linha "Preço / lucro do exercício" usa o último exercício anual da aba Analise.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</si>
</sst>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;[Red]\-#,##0.0"/>
    <numFmt numFmtId="165" formatCode="dd/mm/yyyy"/>
    <numFmt numFmtId="166" formatCode="0.0%;[Red]\-0.0%"/>
    <numFmt numFmtId="167" formatCode="0.0&quot;x&quot;;[Red]\-0.0&quot;x&quot;"/>
  </numFmts>
  <fonts count="10" x14ac:knownFonts="1">
    <font>
      <sz val="8"/>
      <color theme="1"/>
      <name val="Montserrat"/>
      <family val="2"/>
    </font>
    <font>
      <sz val="10"/>
      <color theme="1"/>
      <name val="Segoe UI"/>
      <family val="2"/>
    </font>
    <font>
      <b/>
      <sz val="10"/>
      <color rgb="FF4A9EE8"/>
      <name val="Segoe UI"/>
      <family val="2"/>
    </font>
    <font>
      <b/>
      <sz val="13"/>
      <color rgb="FFFFFFFF"/>
      <name val="Segoe UI"/>
      <family val="2"/>
    </font>
    <font>
      <sz val="10"/>
      <color rgb="FFAAB9CD"/>
      <name val="Segoe UI"/>
      <family val="2"/>
    </font>
    <font>
      <b/>
      <sz val="10"/>
      <color rgb="FF2D7DD2"/>
      <name val="Segoe UI"/>
      <family val="2"/>
    </font>
    <font>
      <b/>
      <sz val="10"/>
      <color rgb="FF3C2D00"/>
      <name val="Segoe UI"/>
      <family val="2"/>
    </font>
    <font>
      <sz val="9"/>
      <color rgb="FF6E7887"/>
      <name val="Segoe UI"/>
      <family val="2"/>
    </font>
    <font>
      <sz val="10"/>
      <color rgb="FF164682"/>
      <name val="Segoe UI"/>
      <family val="2"/>
    </font>
    <font>
      <sz val="10"/>
      <color rgb="FF14502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F1B2D"/>
        <bgColor indexed="64"/>
      </patternFill>
    </fill>
    <fill>
      <patternFill patternType="solid">
        <fgColor rgb="FFFFF4C2"/>
        <bgColor indexed="64"/>
      </patternFill>
    </fill>
    <fill>
      <patternFill patternType="solid">
        <fgColor rgb="FFDCEBFA"/>
        <bgColor indexed="64"/>
      </patternFill>
    </fill>
    <fill>
      <patternFill patternType="solid">
        <fgColor rgb="FFE2F2E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D7DCE4"/>
      </bottom>
      <diagonal/>
    </border>
    <border>
      <left/>
      <right/>
      <top style="thin">
        <color rgb="FFD7DCE4"/>
      </top>
      <bottom style="thin">
        <color rgb="FFD7DCE4"/>
      </bottom>
      <diagonal/>
    </border>
    <border>
      <left/>
      <right/>
      <top style="thin">
        <color rgb="FFD7DCE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0" borderId="1" xfId="0" applyFont="1" applyBorder="1"/>
    <xf numFmtId="0" fontId="6" fillId="3" borderId="0" xfId="0" applyFont="1" applyFill="1"/>
    <xf numFmtId="0" fontId="7" fillId="0" borderId="0" xfId="0" applyFont="1"/>
    <xf numFmtId="0" fontId="8" fillId="4" borderId="0" xfId="0" applyFont="1" applyFill="1"/>
    <xf numFmtId="0" fontId="9" fillId="5" borderId="0" xfId="0" applyFont="1" applyFill="1"/>
    <xf numFmtId="164" fontId="1" fillId="2" borderId="0" xfId="0" applyNumberFormat="1" applyFont="1" applyFill="1"/>
    <xf numFmtId="164" fontId="1" fillId="0" borderId="0" xfId="0" applyNumberFormat="1" applyFont="1"/>
    <xf numFmtId="4" fontId="8" fillId="4" borderId="0" xfId="0" applyNumberFormat="1" applyFont="1" applyFill="1"/>
    <xf numFmtId="165" fontId="8" fillId="4" borderId="0" xfId="0" applyNumberFormat="1" applyFont="1" applyFill="1"/>
    <xf numFmtId="0" fontId="5" fillId="0" borderId="0" xfId="0" applyFont="1" applyBorder="1"/>
    <xf numFmtId="0" fontId="5" fillId="0" borderId="2" xfId="0" applyFont="1" applyBorder="1"/>
    <xf numFmtId="1" fontId="5" fillId="0" borderId="1" xfId="0" applyNumberFormat="1" applyFont="1" applyBorder="1"/>
    <xf numFmtId="0" fontId="5" fillId="0" borderId="3" xfId="0" applyFont="1" applyBorder="1"/>
    <xf numFmtId="164" fontId="8" fillId="4" borderId="0" xfId="0" applyNumberFormat="1" applyFont="1" applyFill="1"/>
    <xf numFmtId="166" fontId="9" fillId="5" borderId="0" xfId="0" applyNumberFormat="1" applyFont="1" applyFill="1"/>
    <xf numFmtId="164" fontId="9" fillId="5" borderId="0" xfId="0" applyNumberFormat="1" applyFont="1" applyFill="1"/>
    <xf numFmtId="167" fontId="9" fillId="5" borderId="0" xfId="0" applyNumberFormat="1" applyFont="1" applyFill="1"/>
    <xf numFmtId="167" fontId="8" fillId="4" borderId="0" xfId="0" applyNumberFormat="1" applyFont="1" applyFill="1"/>
    <xf numFmtId="166" fontId="8" fillId="4" borderId="0" xfId="0" applyNumberFormat="1" applyFont="1" applyFill="1"/>
    <xf numFmtId="2" fontId="8" fillId="4" borderId="0" xfId="0" applyNumberFormat="1" applyFont="1" applyFill="1"/>
    <xf numFmtId="1" fontId="9" fillId="5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pt-BR"/>
              <a:t>Receita e lucro líquido (R$ milhões)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Analise!$B$7</c:f>
              <c:strCache>
                <c:ptCount val="1"/>
                <c:pt idx="0">
                  <c:v>Receita líquida</c:v>
                </c:pt>
              </c:strCache>
            </c:strRef>
          </c:tx>
          <c:spPr>
            <a:solidFill>
              <a:srgbClr val="2D7DD2"/>
            </a:solidFill>
          </c:spPr>
          <c:invertIfNegative val="0"/>
          <c:cat>
            <c:multiLvlStrRef>
              <c:f>Analise!$D$5:$K$5</c:f>
            </c:multiLvlStrRef>
          </c:cat>
          <c:val>
            <c:numRef>
              <c:f>Analise!$D$7:$K$7</c:f>
              <c:numCache>
                <c:formatCode>#,##0.0;[Red]\-#,##0.0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DF-4756-86D7-7BCE6ED5FD39}"/>
            </c:ext>
          </c:extLst>
        </c:ser>
        <c:ser>
          <c:idx val="1"/>
          <c:order val="1"/>
          <c:tx>
            <c:strRef>
              <c:f>Analise!$B$17</c:f>
              <c:strCache>
                <c:ptCount val="1"/>
                <c:pt idx="0">
                  <c:v>Lucro líquido consolidado</c:v>
                </c:pt>
              </c:strCache>
            </c:strRef>
          </c:tx>
          <c:spPr>
            <a:solidFill>
              <a:srgbClr val="22C55E"/>
            </a:solidFill>
          </c:spPr>
          <c:invertIfNegative val="0"/>
          <c:cat>
            <c:multiLvlStrRef>
              <c:f>Analise!$D$5:$K$5</c:f>
            </c:multiLvlStrRef>
          </c:cat>
          <c:val>
            <c:numRef>
              <c:f>Analise!$D$17:$K$17</c:f>
              <c:numCache>
                <c:formatCode>#,##0.0;[Red]\-#,##0.0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DF-4756-86D7-7BCE6ED5F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1724047"/>
        <c:axId val="1316681055"/>
      </c:barChart>
      <c:catAx>
        <c:axId val="1311724047"/>
        <c:scaling>
          <c:orientation val="minMax"/>
        </c:scaling>
        <c:delete val="0"/>
        <c:axPos val="b"/>
        <c:majorTickMark val="out"/>
        <c:minorTickMark val="none"/>
        <c:tickLblPos val="nextTo"/>
        <c:crossAx val="1316681055"/>
        <c:crosses val="autoZero"/>
        <c:auto val="1"/>
        <c:lblAlgn val="ctr"/>
        <c:lblOffset val="100"/>
        <c:noMultiLvlLbl val="0"/>
      </c:catAx>
      <c:valAx>
        <c:axId val="1316681055"/>
        <c:scaling>
          <c:orientation val="minMax"/>
        </c:scaling>
        <c:delete val="0"/>
        <c:axPos val="l"/>
        <c:majorGridlines/>
        <c:numFmt formatCode="#,##0.0;[Red]\-#,##0.0" sourceLinked="1"/>
        <c:majorTickMark val="out"/>
        <c:minorTickMark val="none"/>
        <c:tickLblPos val="nextTo"/>
        <c:crossAx val="1311724047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327025</xdr:colOff>
      <xdr:row>36</xdr:row>
      <xdr:rowOff>0</xdr:rowOff>
    </xdr:from>
    <xdr:to>
      <xdr:col>9</xdr:col>
      <xdr:colOff>352425</xdr:colOff>
      <xdr:row>52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AE1DFBD-42BB-F9BD-3D74-F7D8500E30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8E4CB-8258-44E9-8466-EA06B32D7A78}">
  <dimension ref="A1:L24"/>
  <sheetViews>
    <sheetView showGridLines="0" tabSelected="1" workbookViewId="0"/>
  </sheetViews>
  <sheetFormatPr defaultRowHeight="14.25" x14ac:dyDescent="0.25"/>
  <cols>
    <col min="1" max="1" width="2.7109375" style="1" customWidth="1"/>
    <col min="2" max="2" width="20.7109375" style="1" customWidth="1"/>
    <col min="3" max="3" width="2.7109375" style="1" customWidth="1"/>
    <col min="4" max="4" width="18.7109375" style="1" customWidth="1"/>
    <col min="5" max="16384" width="9.140625" style="1"/>
  </cols>
  <sheetData>
    <row r="1" spans="1:12" ht="24" customHeight="1" x14ac:dyDescent="0.35">
      <c r="A1" s="2"/>
      <c r="B1" s="3" t="s">
        <v>0</v>
      </c>
      <c r="C1" s="4" t="s">
        <v>1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2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6" t="s">
        <v>3</v>
      </c>
    </row>
    <row r="6" spans="1:12" x14ac:dyDescent="0.25">
      <c r="B6" s="1" t="s">
        <v>4</v>
      </c>
      <c r="D6" s="7" t="s">
        <v>5</v>
      </c>
      <c r="E6" s="8" t="s">
        <v>7</v>
      </c>
    </row>
    <row r="7" spans="1:12" x14ac:dyDescent="0.25">
      <c r="B7" s="1" t="s">
        <v>6</v>
      </c>
      <c r="D7" s="7">
        <v>5</v>
      </c>
      <c r="E7" s="8" t="s">
        <v>8</v>
      </c>
    </row>
    <row r="8" spans="1:12" x14ac:dyDescent="0.25">
      <c r="B8" s="1" t="s">
        <v>9</v>
      </c>
      <c r="D8" s="9" t="str">
        <f ca="1">IFERROR(INDEX(_xlfn.ANCHORARRAY(Mercado!$B$13),2,MATCH("long_name",INDEX(_xlfn.ANCHORARRAY(Mercado!$B$13),1,0),0)),"")</f>
        <v/>
      </c>
    </row>
    <row r="10" spans="1:12" x14ac:dyDescent="0.25">
      <c r="B10" s="6" t="s">
        <v>10</v>
      </c>
    </row>
    <row r="11" spans="1:12" x14ac:dyDescent="0.25">
      <c r="B11" s="1" t="s">
        <v>11</v>
      </c>
    </row>
    <row r="12" spans="1:12" x14ac:dyDescent="0.25">
      <c r="B12" s="1" t="s">
        <v>12</v>
      </c>
    </row>
    <row r="13" spans="1:12" x14ac:dyDescent="0.25">
      <c r="B13" s="1" t="s">
        <v>13</v>
      </c>
    </row>
    <row r="14" spans="1:12" x14ac:dyDescent="0.25">
      <c r="B14" s="1" t="s">
        <v>14</v>
      </c>
    </row>
    <row r="16" spans="1:12" x14ac:dyDescent="0.25">
      <c r="B16" s="6" t="s">
        <v>15</v>
      </c>
    </row>
    <row r="17" spans="2:3" x14ac:dyDescent="0.25">
      <c r="B17" s="9" t="s">
        <v>16</v>
      </c>
      <c r="C17" s="8" t="s">
        <v>17</v>
      </c>
    </row>
    <row r="18" spans="2:3" x14ac:dyDescent="0.25">
      <c r="B18" s="7" t="s">
        <v>18</v>
      </c>
      <c r="C18" s="8" t="s">
        <v>19</v>
      </c>
    </row>
    <row r="19" spans="2:3" x14ac:dyDescent="0.25">
      <c r="B19" s="10" t="s">
        <v>20</v>
      </c>
      <c r="C19" s="8" t="s">
        <v>21</v>
      </c>
    </row>
    <row r="21" spans="2:3" x14ac:dyDescent="0.25">
      <c r="B21" s="6" t="s">
        <v>22</v>
      </c>
    </row>
    <row r="22" spans="2:3" x14ac:dyDescent="0.25">
      <c r="B22" s="8" t="s">
        <v>23</v>
      </c>
    </row>
    <row r="23" spans="2:3" x14ac:dyDescent="0.25">
      <c r="B23" s="8" t="s">
        <v>24</v>
      </c>
    </row>
    <row r="24" spans="2:3" x14ac:dyDescent="0.25">
      <c r="B24" s="8" t="s">
        <v>25</v>
      </c>
    </row>
  </sheetData>
  <dataValidations count="1">
    <dataValidation type="whole" allowBlank="1" showInputMessage="1" showErrorMessage="1" sqref="D7" xr:uid="{656C1919-8195-4D02-ABB1-473F392FEBBD}">
      <formula1>2</formula1>
      <formula2>8</formula2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099C2-AE29-41E8-A6A3-12AC7781FE73}">
  <dimension ref="A1:L35"/>
  <sheetViews>
    <sheetView showGridLines="0" workbookViewId="0">
      <pane xSplit="2" ySplit="5" topLeftCell="C6" activePane="bottomRight" state="frozenSplit"/>
      <selection pane="bottomLeft" activeCell="A6" sqref="A6"/>
      <selection pane="topRight" activeCell="C1" sqref="C1"/>
      <selection pane="bottomRight"/>
    </sheetView>
  </sheetViews>
  <sheetFormatPr defaultRowHeight="14.25" x14ac:dyDescent="0.25"/>
  <cols>
    <col min="1" max="1" width="2.7109375" style="1" customWidth="1"/>
    <col min="2" max="2" width="38.7109375" style="1" customWidth="1"/>
    <col min="3" max="3" width="2.7109375" style="1" customWidth="1"/>
    <col min="4" max="11" width="12.7109375" style="1" customWidth="1"/>
    <col min="12" max="16384" width="9.140625" style="1"/>
  </cols>
  <sheetData>
    <row r="1" spans="1:12" ht="24" customHeight="1" x14ac:dyDescent="0.35">
      <c r="A1" s="2"/>
      <c r="B1" s="3" t="s">
        <v>0</v>
      </c>
      <c r="C1" s="4" t="s">
        <v>41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42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15" t="str">
        <f ca="1">Inicio!$D$6&amp;" · "&amp;Inicio!$D$8</f>
        <v xml:space="preserve">WEGE3 · </v>
      </c>
    </row>
    <row r="5" spans="1:12" x14ac:dyDescent="0.25">
      <c r="B5" s="18" t="s">
        <v>43</v>
      </c>
      <c r="D5" s="17" t="str" cm="1">
        <f t="array" aca="1" ref="D5" ca="1">IFERROR(VALUE(MID(INDEX(_xlfn.ANCHORARRAY(DRE!$B$5),1,COLUMN()-1),7,4)),"")</f>
        <v/>
      </c>
      <c r="E5" s="17" t="str" cm="1">
        <f t="array" aca="1" ref="E5" ca="1">IFERROR(VALUE(MID(INDEX(_xlfn.ANCHORARRAY(DRE!$B$5),1,COLUMN()-1),7,4)),"")</f>
        <v/>
      </c>
      <c r="F5" s="17" t="str" cm="1">
        <f t="array" aca="1" ref="F5" ca="1">IFERROR(VALUE(MID(INDEX(_xlfn.ANCHORARRAY(DRE!$B$5),1,COLUMN()-1),7,4)),"")</f>
        <v/>
      </c>
      <c r="G5" s="17" t="str" cm="1">
        <f t="array" aca="1" ref="G5" ca="1">IFERROR(VALUE(MID(INDEX(_xlfn.ANCHORARRAY(DRE!$B$5),1,COLUMN()-1),7,4)),"")</f>
        <v/>
      </c>
      <c r="H5" s="17" t="str" cm="1">
        <f t="array" aca="1" ref="H5" ca="1">IFERROR(VALUE(MID(INDEX(_xlfn.ANCHORARRAY(DRE!$B$5),1,COLUMN()-1),7,4)),"")</f>
        <v/>
      </c>
      <c r="I5" s="17" t="str" cm="1">
        <f t="array" aca="1" ref="I5" ca="1">IFERROR(VALUE(MID(INDEX(_xlfn.ANCHORARRAY(DRE!$B$5),1,COLUMN()-1),7,4)),"")</f>
        <v/>
      </c>
      <c r="J5" s="17" t="str" cm="1">
        <f t="array" aca="1" ref="J5" ca="1">IFERROR(VALUE(MID(INDEX(_xlfn.ANCHORARRAY(DRE!$B$5),1,COLUMN()-1),7,4)),"")</f>
        <v/>
      </c>
      <c r="K5" s="17" t="str" cm="1">
        <f t="array" aca="1" ref="K5" ca="1">IFERROR(VALUE(MID(INDEX(_xlfn.ANCHORARRAY(DRE!$B$5),1,COLUMN()-1),7,4)),"")</f>
        <v/>
      </c>
    </row>
    <row r="6" spans="1:12" x14ac:dyDescent="0.25">
      <c r="B6" s="16" t="s">
        <v>44</v>
      </c>
    </row>
    <row r="7" spans="1:12" x14ac:dyDescent="0.25">
      <c r="B7" s="1" t="s">
        <v>45</v>
      </c>
      <c r="D7" s="19" t="str" cm="1">
        <f t="array" aca="1" ref="D7" ca="1">IF(D$5="","",IFERROR(_xlfn.XLOOKUP("3.01",INDEX(_xlfn.ANCHORARRAY(DRE!$B$5),0,1),INDEX(_xlfn.ANCHORARRAY(DRE!$B$5),0,COLUMN()-1)),""))</f>
        <v/>
      </c>
      <c r="E7" s="19" t="str" cm="1">
        <f t="array" aca="1" ref="E7" ca="1">IF(E$5="","",IFERROR(_xlfn.XLOOKUP("3.01",INDEX(_xlfn.ANCHORARRAY(DRE!$B$5),0,1),INDEX(_xlfn.ANCHORARRAY(DRE!$B$5),0,COLUMN()-1)),""))</f>
        <v/>
      </c>
      <c r="F7" s="19" t="str" cm="1">
        <f t="array" aca="1" ref="F7" ca="1">IF(F$5="","",IFERROR(_xlfn.XLOOKUP("3.01",INDEX(_xlfn.ANCHORARRAY(DRE!$B$5),0,1),INDEX(_xlfn.ANCHORARRAY(DRE!$B$5),0,COLUMN()-1)),""))</f>
        <v/>
      </c>
      <c r="G7" s="19" t="str" cm="1">
        <f t="array" aca="1" ref="G7" ca="1">IF(G$5="","",IFERROR(_xlfn.XLOOKUP("3.01",INDEX(_xlfn.ANCHORARRAY(DRE!$B$5),0,1),INDEX(_xlfn.ANCHORARRAY(DRE!$B$5),0,COLUMN()-1)),""))</f>
        <v/>
      </c>
      <c r="H7" s="19" t="str" cm="1">
        <f t="array" aca="1" ref="H7" ca="1">IF(H$5="","",IFERROR(_xlfn.XLOOKUP("3.01",INDEX(_xlfn.ANCHORARRAY(DRE!$B$5),0,1),INDEX(_xlfn.ANCHORARRAY(DRE!$B$5),0,COLUMN()-1)),""))</f>
        <v/>
      </c>
      <c r="I7" s="19" t="str" cm="1">
        <f t="array" aca="1" ref="I7" ca="1">IF(I$5="","",IFERROR(_xlfn.XLOOKUP("3.01",INDEX(_xlfn.ANCHORARRAY(DRE!$B$5),0,1),INDEX(_xlfn.ANCHORARRAY(DRE!$B$5),0,COLUMN()-1)),""))</f>
        <v/>
      </c>
      <c r="J7" s="19" t="str" cm="1">
        <f t="array" aca="1" ref="J7" ca="1">IF(J$5="","",IFERROR(_xlfn.XLOOKUP("3.01",INDEX(_xlfn.ANCHORARRAY(DRE!$B$5),0,1),INDEX(_xlfn.ANCHORARRAY(DRE!$B$5),0,COLUMN()-1)),""))</f>
        <v/>
      </c>
      <c r="K7" s="19" t="str" cm="1">
        <f t="array" aca="1" ref="K7" ca="1">IF(K$5="","",IFERROR(_xlfn.XLOOKUP("3.01",INDEX(_xlfn.ANCHORARRAY(DRE!$B$5),0,1),INDEX(_xlfn.ANCHORARRAY(DRE!$B$5),0,COLUMN()-1)),""))</f>
        <v/>
      </c>
    </row>
    <row r="8" spans="1:12" x14ac:dyDescent="0.25">
      <c r="B8" s="1" t="s">
        <v>46</v>
      </c>
      <c r="D8" s="20" t="str">
        <f>""</f>
        <v/>
      </c>
      <c r="E8" s="20" t="str">
        <f t="shared" ref="D8:K8" ca="1" si="0">IF(E$5="","",IFERROR(E7/D7-1,""))</f>
        <v/>
      </c>
      <c r="F8" s="20" t="str">
        <f t="shared" ca="1" si="0"/>
        <v/>
      </c>
      <c r="G8" s="20" t="str">
        <f t="shared" ca="1" si="0"/>
        <v/>
      </c>
      <c r="H8" s="20" t="str">
        <f t="shared" ca="1" si="0"/>
        <v/>
      </c>
      <c r="I8" s="20" t="str">
        <f t="shared" ca="1" si="0"/>
        <v/>
      </c>
      <c r="J8" s="20" t="str">
        <f t="shared" ca="1" si="0"/>
        <v/>
      </c>
      <c r="K8" s="20" t="str">
        <f t="shared" ca="1" si="0"/>
        <v/>
      </c>
    </row>
    <row r="9" spans="1:12" x14ac:dyDescent="0.25">
      <c r="B9" s="1" t="s">
        <v>47</v>
      </c>
      <c r="D9" s="19" t="str" cm="1">
        <f t="array" aca="1" ref="D9" ca="1">IF(D$5="","",IFERROR(_xlfn.XLOOKUP("3.03",INDEX(_xlfn.ANCHORARRAY(DRE!$B$5),0,1),INDEX(_xlfn.ANCHORARRAY(DRE!$B$5),0,COLUMN()-1)),""))</f>
        <v/>
      </c>
      <c r="E9" s="19" t="str" cm="1">
        <f t="array" aca="1" ref="E9" ca="1">IF(E$5="","",IFERROR(_xlfn.XLOOKUP("3.03",INDEX(_xlfn.ANCHORARRAY(DRE!$B$5),0,1),INDEX(_xlfn.ANCHORARRAY(DRE!$B$5),0,COLUMN()-1)),""))</f>
        <v/>
      </c>
      <c r="F9" s="19" t="str" cm="1">
        <f t="array" aca="1" ref="F9" ca="1">IF(F$5="","",IFERROR(_xlfn.XLOOKUP("3.03",INDEX(_xlfn.ANCHORARRAY(DRE!$B$5),0,1),INDEX(_xlfn.ANCHORARRAY(DRE!$B$5),0,COLUMN()-1)),""))</f>
        <v/>
      </c>
      <c r="G9" s="19" t="str" cm="1">
        <f t="array" aca="1" ref="G9" ca="1">IF(G$5="","",IFERROR(_xlfn.XLOOKUP("3.03",INDEX(_xlfn.ANCHORARRAY(DRE!$B$5),0,1),INDEX(_xlfn.ANCHORARRAY(DRE!$B$5),0,COLUMN()-1)),""))</f>
        <v/>
      </c>
      <c r="H9" s="19" t="str" cm="1">
        <f t="array" aca="1" ref="H9" ca="1">IF(H$5="","",IFERROR(_xlfn.XLOOKUP("3.03",INDEX(_xlfn.ANCHORARRAY(DRE!$B$5),0,1),INDEX(_xlfn.ANCHORARRAY(DRE!$B$5),0,COLUMN()-1)),""))</f>
        <v/>
      </c>
      <c r="I9" s="19" t="str" cm="1">
        <f t="array" aca="1" ref="I9" ca="1">IF(I$5="","",IFERROR(_xlfn.XLOOKUP("3.03",INDEX(_xlfn.ANCHORARRAY(DRE!$B$5),0,1),INDEX(_xlfn.ANCHORARRAY(DRE!$B$5),0,COLUMN()-1)),""))</f>
        <v/>
      </c>
      <c r="J9" s="19" t="str" cm="1">
        <f t="array" aca="1" ref="J9" ca="1">IF(J$5="","",IFERROR(_xlfn.XLOOKUP("3.03",INDEX(_xlfn.ANCHORARRAY(DRE!$B$5),0,1),INDEX(_xlfn.ANCHORARRAY(DRE!$B$5),0,COLUMN()-1)),""))</f>
        <v/>
      </c>
      <c r="K9" s="19" t="str" cm="1">
        <f t="array" aca="1" ref="K9" ca="1">IF(K$5="","",IFERROR(_xlfn.XLOOKUP("3.03",INDEX(_xlfn.ANCHORARRAY(DRE!$B$5),0,1),INDEX(_xlfn.ANCHORARRAY(DRE!$B$5),0,COLUMN()-1)),""))</f>
        <v/>
      </c>
    </row>
    <row r="10" spans="1:12" x14ac:dyDescent="0.25">
      <c r="B10" s="1" t="s">
        <v>48</v>
      </c>
      <c r="D10" s="20" t="str">
        <f t="shared" ref="D10:K10" ca="1" si="1">IF(D$5="","",IFERROR(D9/D7,""))</f>
        <v/>
      </c>
      <c r="E10" s="20" t="str">
        <f t="shared" ca="1" si="1"/>
        <v/>
      </c>
      <c r="F10" s="20" t="str">
        <f t="shared" ca="1" si="1"/>
        <v/>
      </c>
      <c r="G10" s="20" t="str">
        <f t="shared" ca="1" si="1"/>
        <v/>
      </c>
      <c r="H10" s="20" t="str">
        <f t="shared" ca="1" si="1"/>
        <v/>
      </c>
      <c r="I10" s="20" t="str">
        <f t="shared" ca="1" si="1"/>
        <v/>
      </c>
      <c r="J10" s="20" t="str">
        <f t="shared" ca="1" si="1"/>
        <v/>
      </c>
      <c r="K10" s="20" t="str">
        <f t="shared" ca="1" si="1"/>
        <v/>
      </c>
    </row>
    <row r="11" spans="1:12" x14ac:dyDescent="0.25">
      <c r="B11" s="1" t="s">
        <v>49</v>
      </c>
      <c r="D11" s="19" t="str" cm="1">
        <f t="array" aca="1" ref="D11" ca="1">IF(D$5="","",IFERROR(_xlfn.XLOOKUP("3.05",INDEX(_xlfn.ANCHORARRAY(DRE!$B$5),0,1),INDEX(_xlfn.ANCHORARRAY(DRE!$B$5),0,COLUMN()-1)),""))</f>
        <v/>
      </c>
      <c r="E11" s="19" t="str" cm="1">
        <f t="array" aca="1" ref="E11" ca="1">IF(E$5="","",IFERROR(_xlfn.XLOOKUP("3.05",INDEX(_xlfn.ANCHORARRAY(DRE!$B$5),0,1),INDEX(_xlfn.ANCHORARRAY(DRE!$B$5),0,COLUMN()-1)),""))</f>
        <v/>
      </c>
      <c r="F11" s="19" t="str" cm="1">
        <f t="array" aca="1" ref="F11" ca="1">IF(F$5="","",IFERROR(_xlfn.XLOOKUP("3.05",INDEX(_xlfn.ANCHORARRAY(DRE!$B$5),0,1),INDEX(_xlfn.ANCHORARRAY(DRE!$B$5),0,COLUMN()-1)),""))</f>
        <v/>
      </c>
      <c r="G11" s="19" t="str" cm="1">
        <f t="array" aca="1" ref="G11" ca="1">IF(G$5="","",IFERROR(_xlfn.XLOOKUP("3.05",INDEX(_xlfn.ANCHORARRAY(DRE!$B$5),0,1),INDEX(_xlfn.ANCHORARRAY(DRE!$B$5),0,COLUMN()-1)),""))</f>
        <v/>
      </c>
      <c r="H11" s="19" t="str" cm="1">
        <f t="array" aca="1" ref="H11" ca="1">IF(H$5="","",IFERROR(_xlfn.XLOOKUP("3.05",INDEX(_xlfn.ANCHORARRAY(DRE!$B$5),0,1),INDEX(_xlfn.ANCHORARRAY(DRE!$B$5),0,COLUMN()-1)),""))</f>
        <v/>
      </c>
      <c r="I11" s="19" t="str" cm="1">
        <f t="array" aca="1" ref="I11" ca="1">IF(I$5="","",IFERROR(_xlfn.XLOOKUP("3.05",INDEX(_xlfn.ANCHORARRAY(DRE!$B$5),0,1),INDEX(_xlfn.ANCHORARRAY(DRE!$B$5),0,COLUMN()-1)),""))</f>
        <v/>
      </c>
      <c r="J11" s="19" t="str" cm="1">
        <f t="array" aca="1" ref="J11" ca="1">IF(J$5="","",IFERROR(_xlfn.XLOOKUP("3.05",INDEX(_xlfn.ANCHORARRAY(DRE!$B$5),0,1),INDEX(_xlfn.ANCHORARRAY(DRE!$B$5),0,COLUMN()-1)),""))</f>
        <v/>
      </c>
      <c r="K11" s="19" t="str" cm="1">
        <f t="array" aca="1" ref="K11" ca="1">IF(K$5="","",IFERROR(_xlfn.XLOOKUP("3.05",INDEX(_xlfn.ANCHORARRAY(DRE!$B$5),0,1),INDEX(_xlfn.ANCHORARRAY(DRE!$B$5),0,COLUMN()-1)),""))</f>
        <v/>
      </c>
    </row>
    <row r="12" spans="1:12" x14ac:dyDescent="0.25">
      <c r="B12" s="1" t="s">
        <v>50</v>
      </c>
      <c r="D12" s="20" t="str">
        <f t="shared" ref="D12:K12" ca="1" si="2">IF(D$5="","",IFERROR(D11/D7,""))</f>
        <v/>
      </c>
      <c r="E12" s="20" t="str">
        <f t="shared" ca="1" si="2"/>
        <v/>
      </c>
      <c r="F12" s="20" t="str">
        <f t="shared" ca="1" si="2"/>
        <v/>
      </c>
      <c r="G12" s="20" t="str">
        <f t="shared" ca="1" si="2"/>
        <v/>
      </c>
      <c r="H12" s="20" t="str">
        <f t="shared" ca="1" si="2"/>
        <v/>
      </c>
      <c r="I12" s="20" t="str">
        <f t="shared" ca="1" si="2"/>
        <v/>
      </c>
      <c r="J12" s="20" t="str">
        <f t="shared" ca="1" si="2"/>
        <v/>
      </c>
      <c r="K12" s="20" t="str">
        <f t="shared" ca="1" si="2"/>
        <v/>
      </c>
    </row>
    <row r="13" spans="1:12" x14ac:dyDescent="0.25">
      <c r="B13" s="1" t="s">
        <v>51</v>
      </c>
      <c r="D13" s="19" t="str" cm="1">
        <f t="array" aca="1" ref="D13" ca="1">IF(D$5="","",IFERROR(_xlfn.XLOOKUP("*eprecia*",INDEX(_xlfn.ANCHORARRAY(Caixa!$B$5),0,2),INDEX(_xlfn.ANCHORARRAY(Caixa!$B$5),0,COLUMN()-1),"",2),""))</f>
        <v/>
      </c>
      <c r="E13" s="19" t="str" cm="1">
        <f t="array" aca="1" ref="E13" ca="1">IF(E$5="","",IFERROR(_xlfn.XLOOKUP("*eprecia*",INDEX(_xlfn.ANCHORARRAY(Caixa!$B$5),0,2),INDEX(_xlfn.ANCHORARRAY(Caixa!$B$5),0,COLUMN()-1),"",2),""))</f>
        <v/>
      </c>
      <c r="F13" s="19" t="str" cm="1">
        <f t="array" aca="1" ref="F13" ca="1">IF(F$5="","",IFERROR(_xlfn.XLOOKUP("*eprecia*",INDEX(_xlfn.ANCHORARRAY(Caixa!$B$5),0,2),INDEX(_xlfn.ANCHORARRAY(Caixa!$B$5),0,COLUMN()-1),"",2),""))</f>
        <v/>
      </c>
      <c r="G13" s="19" t="str" cm="1">
        <f t="array" aca="1" ref="G13" ca="1">IF(G$5="","",IFERROR(_xlfn.XLOOKUP("*eprecia*",INDEX(_xlfn.ANCHORARRAY(Caixa!$B$5),0,2),INDEX(_xlfn.ANCHORARRAY(Caixa!$B$5),0,COLUMN()-1),"",2),""))</f>
        <v/>
      </c>
      <c r="H13" s="19" t="str" cm="1">
        <f t="array" aca="1" ref="H13" ca="1">IF(H$5="","",IFERROR(_xlfn.XLOOKUP("*eprecia*",INDEX(_xlfn.ANCHORARRAY(Caixa!$B$5),0,2),INDEX(_xlfn.ANCHORARRAY(Caixa!$B$5),0,COLUMN()-1),"",2),""))</f>
        <v/>
      </c>
      <c r="I13" s="19" t="str" cm="1">
        <f t="array" aca="1" ref="I13" ca="1">IF(I$5="","",IFERROR(_xlfn.XLOOKUP("*eprecia*",INDEX(_xlfn.ANCHORARRAY(Caixa!$B$5),0,2),INDEX(_xlfn.ANCHORARRAY(Caixa!$B$5),0,COLUMN()-1),"",2),""))</f>
        <v/>
      </c>
      <c r="J13" s="19" t="str" cm="1">
        <f t="array" aca="1" ref="J13" ca="1">IF(J$5="","",IFERROR(_xlfn.XLOOKUP("*eprecia*",INDEX(_xlfn.ANCHORARRAY(Caixa!$B$5),0,2),INDEX(_xlfn.ANCHORARRAY(Caixa!$B$5),0,COLUMN()-1),"",2),""))</f>
        <v/>
      </c>
      <c r="K13" s="19" t="str" cm="1">
        <f t="array" aca="1" ref="K13" ca="1">IF(K$5="","",IFERROR(_xlfn.XLOOKUP("*eprecia*",INDEX(_xlfn.ANCHORARRAY(Caixa!$B$5),0,2),INDEX(_xlfn.ANCHORARRAY(Caixa!$B$5),0,COLUMN()-1),"",2),""))</f>
        <v/>
      </c>
    </row>
    <row r="14" spans="1:12" x14ac:dyDescent="0.25">
      <c r="B14" s="1" t="s">
        <v>52</v>
      </c>
      <c r="D14" s="21" t="str">
        <f t="shared" ref="D14:K14" ca="1" si="3">IF(D$5="","",IFERROR(D11+N(D13),""))</f>
        <v/>
      </c>
      <c r="E14" s="21" t="str">
        <f t="shared" ca="1" si="3"/>
        <v/>
      </c>
      <c r="F14" s="21" t="str">
        <f t="shared" ca="1" si="3"/>
        <v/>
      </c>
      <c r="G14" s="21" t="str">
        <f t="shared" ca="1" si="3"/>
        <v/>
      </c>
      <c r="H14" s="21" t="str">
        <f t="shared" ca="1" si="3"/>
        <v/>
      </c>
      <c r="I14" s="21" t="str">
        <f t="shared" ca="1" si="3"/>
        <v/>
      </c>
      <c r="J14" s="21" t="str">
        <f t="shared" ca="1" si="3"/>
        <v/>
      </c>
      <c r="K14" s="21" t="str">
        <f t="shared" ca="1" si="3"/>
        <v/>
      </c>
    </row>
    <row r="15" spans="1:12" x14ac:dyDescent="0.25">
      <c r="B15" s="1" t="s">
        <v>53</v>
      </c>
      <c r="D15" s="20" t="str">
        <f t="shared" ref="D15:K15" ca="1" si="4">IF(D$5="","",IFERROR(D14/D7,""))</f>
        <v/>
      </c>
      <c r="E15" s="20" t="str">
        <f t="shared" ca="1" si="4"/>
        <v/>
      </c>
      <c r="F15" s="20" t="str">
        <f t="shared" ca="1" si="4"/>
        <v/>
      </c>
      <c r="G15" s="20" t="str">
        <f t="shared" ca="1" si="4"/>
        <v/>
      </c>
      <c r="H15" s="20" t="str">
        <f t="shared" ca="1" si="4"/>
        <v/>
      </c>
      <c r="I15" s="20" t="str">
        <f t="shared" ca="1" si="4"/>
        <v/>
      </c>
      <c r="J15" s="20" t="str">
        <f t="shared" ca="1" si="4"/>
        <v/>
      </c>
      <c r="K15" s="20" t="str">
        <f t="shared" ca="1" si="4"/>
        <v/>
      </c>
    </row>
    <row r="16" spans="1:12" x14ac:dyDescent="0.25">
      <c r="B16" s="1" t="s">
        <v>54</v>
      </c>
      <c r="D16" s="19" t="str" cm="1">
        <f t="array" aca="1" ref="D16" ca="1">IF(D$5="","",IFERROR(_xlfn.XLOOKUP("3.06",INDEX(_xlfn.ANCHORARRAY(DRE!$B$5),0,1),INDEX(_xlfn.ANCHORARRAY(DRE!$B$5),0,COLUMN()-1)),""))</f>
        <v/>
      </c>
      <c r="E16" s="19" t="str" cm="1">
        <f t="array" aca="1" ref="E16" ca="1">IF(E$5="","",IFERROR(_xlfn.XLOOKUP("3.06",INDEX(_xlfn.ANCHORARRAY(DRE!$B$5),0,1),INDEX(_xlfn.ANCHORARRAY(DRE!$B$5),0,COLUMN()-1)),""))</f>
        <v/>
      </c>
      <c r="F16" s="19" t="str" cm="1">
        <f t="array" aca="1" ref="F16" ca="1">IF(F$5="","",IFERROR(_xlfn.XLOOKUP("3.06",INDEX(_xlfn.ANCHORARRAY(DRE!$B$5),0,1),INDEX(_xlfn.ANCHORARRAY(DRE!$B$5),0,COLUMN()-1)),""))</f>
        <v/>
      </c>
      <c r="G16" s="19" t="str" cm="1">
        <f t="array" aca="1" ref="G16" ca="1">IF(G$5="","",IFERROR(_xlfn.XLOOKUP("3.06",INDEX(_xlfn.ANCHORARRAY(DRE!$B$5),0,1),INDEX(_xlfn.ANCHORARRAY(DRE!$B$5),0,COLUMN()-1)),""))</f>
        <v/>
      </c>
      <c r="H16" s="19" t="str" cm="1">
        <f t="array" aca="1" ref="H16" ca="1">IF(H$5="","",IFERROR(_xlfn.XLOOKUP("3.06",INDEX(_xlfn.ANCHORARRAY(DRE!$B$5),0,1),INDEX(_xlfn.ANCHORARRAY(DRE!$B$5),0,COLUMN()-1)),""))</f>
        <v/>
      </c>
      <c r="I16" s="19" t="str" cm="1">
        <f t="array" aca="1" ref="I16" ca="1">IF(I$5="","",IFERROR(_xlfn.XLOOKUP("3.06",INDEX(_xlfn.ANCHORARRAY(DRE!$B$5),0,1),INDEX(_xlfn.ANCHORARRAY(DRE!$B$5),0,COLUMN()-1)),""))</f>
        <v/>
      </c>
      <c r="J16" s="19" t="str" cm="1">
        <f t="array" aca="1" ref="J16" ca="1">IF(J$5="","",IFERROR(_xlfn.XLOOKUP("3.06",INDEX(_xlfn.ANCHORARRAY(DRE!$B$5),0,1),INDEX(_xlfn.ANCHORARRAY(DRE!$B$5),0,COLUMN()-1)),""))</f>
        <v/>
      </c>
      <c r="K16" s="19" t="str" cm="1">
        <f t="array" aca="1" ref="K16" ca="1">IF(K$5="","",IFERROR(_xlfn.XLOOKUP("3.06",INDEX(_xlfn.ANCHORARRAY(DRE!$B$5),0,1),INDEX(_xlfn.ANCHORARRAY(DRE!$B$5),0,COLUMN()-1)),""))</f>
        <v/>
      </c>
    </row>
    <row r="17" spans="2:11" x14ac:dyDescent="0.25">
      <c r="B17" s="1" t="s">
        <v>55</v>
      </c>
      <c r="D17" s="19" t="str" cm="1">
        <f t="array" aca="1" ref="D17" ca="1">IF(D$5="","",IFERROR(_xlfn.XLOOKUP("3.11",INDEX(_xlfn.ANCHORARRAY(DRE!$B$5),0,1),INDEX(_xlfn.ANCHORARRAY(DRE!$B$5),0,COLUMN()-1)),""))</f>
        <v/>
      </c>
      <c r="E17" s="19" t="str" cm="1">
        <f t="array" aca="1" ref="E17" ca="1">IF(E$5="","",IFERROR(_xlfn.XLOOKUP("3.11",INDEX(_xlfn.ANCHORARRAY(DRE!$B$5),0,1),INDEX(_xlfn.ANCHORARRAY(DRE!$B$5),0,COLUMN()-1)),""))</f>
        <v/>
      </c>
      <c r="F17" s="19" t="str" cm="1">
        <f t="array" aca="1" ref="F17" ca="1">IF(F$5="","",IFERROR(_xlfn.XLOOKUP("3.11",INDEX(_xlfn.ANCHORARRAY(DRE!$B$5),0,1),INDEX(_xlfn.ANCHORARRAY(DRE!$B$5),0,COLUMN()-1)),""))</f>
        <v/>
      </c>
      <c r="G17" s="19" t="str" cm="1">
        <f t="array" aca="1" ref="G17" ca="1">IF(G$5="","",IFERROR(_xlfn.XLOOKUP("3.11",INDEX(_xlfn.ANCHORARRAY(DRE!$B$5),0,1),INDEX(_xlfn.ANCHORARRAY(DRE!$B$5),0,COLUMN()-1)),""))</f>
        <v/>
      </c>
      <c r="H17" s="19" t="str" cm="1">
        <f t="array" aca="1" ref="H17" ca="1">IF(H$5="","",IFERROR(_xlfn.XLOOKUP("3.11",INDEX(_xlfn.ANCHORARRAY(DRE!$B$5),0,1),INDEX(_xlfn.ANCHORARRAY(DRE!$B$5),0,COLUMN()-1)),""))</f>
        <v/>
      </c>
      <c r="I17" s="19" t="str" cm="1">
        <f t="array" aca="1" ref="I17" ca="1">IF(I$5="","",IFERROR(_xlfn.XLOOKUP("3.11",INDEX(_xlfn.ANCHORARRAY(DRE!$B$5),0,1),INDEX(_xlfn.ANCHORARRAY(DRE!$B$5),0,COLUMN()-1)),""))</f>
        <v/>
      </c>
      <c r="J17" s="19" t="str" cm="1">
        <f t="array" aca="1" ref="J17" ca="1">IF(J$5="","",IFERROR(_xlfn.XLOOKUP("3.11",INDEX(_xlfn.ANCHORARRAY(DRE!$B$5),0,1),INDEX(_xlfn.ANCHORARRAY(DRE!$B$5),0,COLUMN()-1)),""))</f>
        <v/>
      </c>
      <c r="K17" s="19" t="str" cm="1">
        <f t="array" aca="1" ref="K17" ca="1">IF(K$5="","",IFERROR(_xlfn.XLOOKUP("3.11",INDEX(_xlfn.ANCHORARRAY(DRE!$B$5),0,1),INDEX(_xlfn.ANCHORARRAY(DRE!$B$5),0,COLUMN()-1)),""))</f>
        <v/>
      </c>
    </row>
    <row r="18" spans="2:11" x14ac:dyDescent="0.25">
      <c r="B18" s="1" t="s">
        <v>56</v>
      </c>
      <c r="D18" s="20" t="str">
        <f t="shared" ref="D18:K18" ca="1" si="5">IF(D$5="","",IFERROR(D17/D7,""))</f>
        <v/>
      </c>
      <c r="E18" s="20" t="str">
        <f t="shared" ca="1" si="5"/>
        <v/>
      </c>
      <c r="F18" s="20" t="str">
        <f t="shared" ca="1" si="5"/>
        <v/>
      </c>
      <c r="G18" s="20" t="str">
        <f t="shared" ca="1" si="5"/>
        <v/>
      </c>
      <c r="H18" s="20" t="str">
        <f t="shared" ca="1" si="5"/>
        <v/>
      </c>
      <c r="I18" s="20" t="str">
        <f t="shared" ca="1" si="5"/>
        <v/>
      </c>
      <c r="J18" s="20" t="str">
        <f t="shared" ca="1" si="5"/>
        <v/>
      </c>
      <c r="K18" s="20" t="str">
        <f t="shared" ca="1" si="5"/>
        <v/>
      </c>
    </row>
    <row r="19" spans="2:11" x14ac:dyDescent="0.25">
      <c r="B19" s="6" t="s">
        <v>57</v>
      </c>
    </row>
    <row r="20" spans="2:11" x14ac:dyDescent="0.25">
      <c r="B20" s="1" t="s">
        <v>58</v>
      </c>
      <c r="D20" s="19" t="str" cm="1">
        <f t="array" aca="1" ref="D20" ca="1">IF(D$5="","",IFERROR(_xlfn.XLOOKUP("1",INDEX(_xlfn.ANCHORARRAY(Ativo!$B$5),0,1),INDEX(_xlfn.ANCHORARRAY(Ativo!$B$5),0,COLUMN()-1)),""))</f>
        <v/>
      </c>
      <c r="E20" s="19" t="str" cm="1">
        <f t="array" aca="1" ref="E20" ca="1">IF(E$5="","",IFERROR(_xlfn.XLOOKUP("1",INDEX(_xlfn.ANCHORARRAY(Ativo!$B$5),0,1),INDEX(_xlfn.ANCHORARRAY(Ativo!$B$5),0,COLUMN()-1)),""))</f>
        <v/>
      </c>
      <c r="F20" s="19" t="str" cm="1">
        <f t="array" aca="1" ref="F20" ca="1">IF(F$5="","",IFERROR(_xlfn.XLOOKUP("1",INDEX(_xlfn.ANCHORARRAY(Ativo!$B$5),0,1),INDEX(_xlfn.ANCHORARRAY(Ativo!$B$5),0,COLUMN()-1)),""))</f>
        <v/>
      </c>
      <c r="G20" s="19" t="str" cm="1">
        <f t="array" aca="1" ref="G20" ca="1">IF(G$5="","",IFERROR(_xlfn.XLOOKUP("1",INDEX(_xlfn.ANCHORARRAY(Ativo!$B$5),0,1),INDEX(_xlfn.ANCHORARRAY(Ativo!$B$5),0,COLUMN()-1)),""))</f>
        <v/>
      </c>
      <c r="H20" s="19" t="str" cm="1">
        <f t="array" aca="1" ref="H20" ca="1">IF(H$5="","",IFERROR(_xlfn.XLOOKUP("1",INDEX(_xlfn.ANCHORARRAY(Ativo!$B$5),0,1),INDEX(_xlfn.ANCHORARRAY(Ativo!$B$5),0,COLUMN()-1)),""))</f>
        <v/>
      </c>
      <c r="I20" s="19" t="str" cm="1">
        <f t="array" aca="1" ref="I20" ca="1">IF(I$5="","",IFERROR(_xlfn.XLOOKUP("1",INDEX(_xlfn.ANCHORARRAY(Ativo!$B$5),0,1),INDEX(_xlfn.ANCHORARRAY(Ativo!$B$5),0,COLUMN()-1)),""))</f>
        <v/>
      </c>
      <c r="J20" s="19" t="str" cm="1">
        <f t="array" aca="1" ref="J20" ca="1">IF(J$5="","",IFERROR(_xlfn.XLOOKUP("1",INDEX(_xlfn.ANCHORARRAY(Ativo!$B$5),0,1),INDEX(_xlfn.ANCHORARRAY(Ativo!$B$5),0,COLUMN()-1)),""))</f>
        <v/>
      </c>
      <c r="K20" s="19" t="str" cm="1">
        <f t="array" aca="1" ref="K20" ca="1">IF(K$5="","",IFERROR(_xlfn.XLOOKUP("1",INDEX(_xlfn.ANCHORARRAY(Ativo!$B$5),0,1),INDEX(_xlfn.ANCHORARRAY(Ativo!$B$5),0,COLUMN()-1)),""))</f>
        <v/>
      </c>
    </row>
    <row r="21" spans="2:11" x14ac:dyDescent="0.25">
      <c r="B21" s="1" t="s">
        <v>59</v>
      </c>
      <c r="D21" s="19" t="str" cm="1">
        <f t="array" aca="1" ref="D21" ca="1">IF(D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  <c r="E21" s="19" t="str" cm="1">
        <f t="array" aca="1" ref="E21" ca="1">IF(E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  <c r="F21" s="19" t="str" cm="1">
        <f t="array" aca="1" ref="F21" ca="1">IF(F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  <c r="G21" s="19" t="str" cm="1">
        <f t="array" aca="1" ref="G21" ca="1">IF(G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  <c r="H21" s="19" t="str" cm="1">
        <f t="array" aca="1" ref="H21" ca="1">IF(H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  <c r="I21" s="19" t="str" cm="1">
        <f t="array" aca="1" ref="I21" ca="1">IF(I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  <c r="J21" s="19" t="str" cm="1">
        <f t="array" aca="1" ref="J21" ca="1">IF(J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  <c r="K21" s="19" t="str" cm="1">
        <f t="array" aca="1" ref="K21" ca="1">IF(K$5="","",IFERROR(N(IFERROR(_xlfn.XLOOKUP("1.01.01",INDEX(_xlfn.ANCHORARRAY(Ativo!$B$5),0,1),INDEX(_xlfn.ANCHORARRAY(Ativo!$B$5),0,COLUMN()-1)),""))+N(IFERROR(_xlfn.XLOOKUP("1.01.02",INDEX(_xlfn.ANCHORARRAY(Ativo!$B$5),0,1),INDEX(_xlfn.ANCHORARRAY(Ativo!$B$5),0,COLUMN()-1)),"")),""))</f>
        <v/>
      </c>
    </row>
    <row r="22" spans="2:11" x14ac:dyDescent="0.25">
      <c r="B22" s="1" t="s">
        <v>60</v>
      </c>
      <c r="D22" s="19" t="str" cm="1">
        <f t="array" aca="1" ref="D22" ca="1">IF(D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  <c r="E22" s="19" t="str" cm="1">
        <f t="array" aca="1" ref="E22" ca="1">IF(E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  <c r="F22" s="19" t="str" cm="1">
        <f t="array" aca="1" ref="F22" ca="1">IF(F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  <c r="G22" s="19" t="str" cm="1">
        <f t="array" aca="1" ref="G22" ca="1">IF(G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  <c r="H22" s="19" t="str" cm="1">
        <f t="array" aca="1" ref="H22" ca="1">IF(H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  <c r="I22" s="19" t="str" cm="1">
        <f t="array" aca="1" ref="I22" ca="1">IF(I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  <c r="J22" s="19" t="str" cm="1">
        <f t="array" aca="1" ref="J22" ca="1">IF(J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  <c r="K22" s="19" t="str" cm="1">
        <f t="array" aca="1" ref="K22" ca="1">IF(K$5="","",IFERROR(N(IFERROR(_xlfn.XLOOKUP("2.01.04",INDEX(_xlfn.ANCHORARRAY(Passivo!$B$5),0,1),INDEX(_xlfn.ANCHORARRAY(Passivo!$B$5),0,COLUMN()-1)),""))+N(IFERROR(_xlfn.XLOOKUP("2.02.01",INDEX(_xlfn.ANCHORARRAY(Passivo!$B$5),0,1),INDEX(_xlfn.ANCHORARRAY(Passivo!$B$5),0,COLUMN()-1)),"")),""))</f>
        <v/>
      </c>
    </row>
    <row r="23" spans="2:11" x14ac:dyDescent="0.25">
      <c r="B23" s="1" t="s">
        <v>61</v>
      </c>
      <c r="D23" s="21" t="str">
        <f t="shared" ref="D23:K23" ca="1" si="6">IF(D$5="","",IFERROR(D22-D21,""))</f>
        <v/>
      </c>
      <c r="E23" s="21" t="str">
        <f t="shared" ca="1" si="6"/>
        <v/>
      </c>
      <c r="F23" s="21" t="str">
        <f t="shared" ca="1" si="6"/>
        <v/>
      </c>
      <c r="G23" s="21" t="str">
        <f t="shared" ca="1" si="6"/>
        <v/>
      </c>
      <c r="H23" s="21" t="str">
        <f t="shared" ca="1" si="6"/>
        <v/>
      </c>
      <c r="I23" s="21" t="str">
        <f t="shared" ca="1" si="6"/>
        <v/>
      </c>
      <c r="J23" s="21" t="str">
        <f t="shared" ca="1" si="6"/>
        <v/>
      </c>
      <c r="K23" s="21" t="str">
        <f t="shared" ca="1" si="6"/>
        <v/>
      </c>
    </row>
    <row r="24" spans="2:11" x14ac:dyDescent="0.25">
      <c r="B24" s="1" t="s">
        <v>62</v>
      </c>
      <c r="D24" s="19" t="str" cm="1">
        <f t="array" aca="1" ref="D24" ca="1">IF(D$5="","",IFERROR(_xlfn.XLOOKUP("2.03",INDEX(_xlfn.ANCHORARRAY(Passivo!$B$5),0,1),INDEX(_xlfn.ANCHORARRAY(Passivo!$B$5),0,COLUMN()-1)),""))</f>
        <v/>
      </c>
      <c r="E24" s="19" t="str" cm="1">
        <f t="array" aca="1" ref="E24" ca="1">IF(E$5="","",IFERROR(_xlfn.XLOOKUP("2.03",INDEX(_xlfn.ANCHORARRAY(Passivo!$B$5),0,1),INDEX(_xlfn.ANCHORARRAY(Passivo!$B$5),0,COLUMN()-1)),""))</f>
        <v/>
      </c>
      <c r="F24" s="19" t="str" cm="1">
        <f t="array" aca="1" ref="F24" ca="1">IF(F$5="","",IFERROR(_xlfn.XLOOKUP("2.03",INDEX(_xlfn.ANCHORARRAY(Passivo!$B$5),0,1),INDEX(_xlfn.ANCHORARRAY(Passivo!$B$5),0,COLUMN()-1)),""))</f>
        <v/>
      </c>
      <c r="G24" s="19" t="str" cm="1">
        <f t="array" aca="1" ref="G24" ca="1">IF(G$5="","",IFERROR(_xlfn.XLOOKUP("2.03",INDEX(_xlfn.ANCHORARRAY(Passivo!$B$5),0,1),INDEX(_xlfn.ANCHORARRAY(Passivo!$B$5),0,COLUMN()-1)),""))</f>
        <v/>
      </c>
      <c r="H24" s="19" t="str" cm="1">
        <f t="array" aca="1" ref="H24" ca="1">IF(H$5="","",IFERROR(_xlfn.XLOOKUP("2.03",INDEX(_xlfn.ANCHORARRAY(Passivo!$B$5),0,1),INDEX(_xlfn.ANCHORARRAY(Passivo!$B$5),0,COLUMN()-1)),""))</f>
        <v/>
      </c>
      <c r="I24" s="19" t="str" cm="1">
        <f t="array" aca="1" ref="I24" ca="1">IF(I$5="","",IFERROR(_xlfn.XLOOKUP("2.03",INDEX(_xlfn.ANCHORARRAY(Passivo!$B$5),0,1),INDEX(_xlfn.ANCHORARRAY(Passivo!$B$5),0,COLUMN()-1)),""))</f>
        <v/>
      </c>
      <c r="J24" s="19" t="str" cm="1">
        <f t="array" aca="1" ref="J24" ca="1">IF(J$5="","",IFERROR(_xlfn.XLOOKUP("2.03",INDEX(_xlfn.ANCHORARRAY(Passivo!$B$5),0,1),INDEX(_xlfn.ANCHORARRAY(Passivo!$B$5),0,COLUMN()-1)),""))</f>
        <v/>
      </c>
      <c r="K24" s="19" t="str" cm="1">
        <f t="array" aca="1" ref="K24" ca="1">IF(K$5="","",IFERROR(_xlfn.XLOOKUP("2.03",INDEX(_xlfn.ANCHORARRAY(Passivo!$B$5),0,1),INDEX(_xlfn.ANCHORARRAY(Passivo!$B$5),0,COLUMN()-1)),""))</f>
        <v/>
      </c>
    </row>
    <row r="25" spans="2:11" x14ac:dyDescent="0.25">
      <c r="B25" s="1" t="s">
        <v>63</v>
      </c>
      <c r="D25" s="22" t="str">
        <f t="shared" ref="D25:K25" ca="1" si="7">IF(D$5="","",IFERROR(D23/D14,""))</f>
        <v/>
      </c>
      <c r="E25" s="22" t="str">
        <f t="shared" ca="1" si="7"/>
        <v/>
      </c>
      <c r="F25" s="22" t="str">
        <f t="shared" ca="1" si="7"/>
        <v/>
      </c>
      <c r="G25" s="22" t="str">
        <f t="shared" ca="1" si="7"/>
        <v/>
      </c>
      <c r="H25" s="22" t="str">
        <f t="shared" ca="1" si="7"/>
        <v/>
      </c>
      <c r="I25" s="22" t="str">
        <f t="shared" ca="1" si="7"/>
        <v/>
      </c>
      <c r="J25" s="22" t="str">
        <f t="shared" ca="1" si="7"/>
        <v/>
      </c>
      <c r="K25" s="22" t="str">
        <f t="shared" ca="1" si="7"/>
        <v/>
      </c>
    </row>
    <row r="26" spans="2:11" x14ac:dyDescent="0.25">
      <c r="B26" s="1" t="s">
        <v>64</v>
      </c>
      <c r="D26" s="20" t="str">
        <f t="shared" ref="D26:K26" ca="1" si="8">IF(D$5="","",IFERROR(D23/D24,""))</f>
        <v/>
      </c>
      <c r="E26" s="20" t="str">
        <f t="shared" ca="1" si="8"/>
        <v/>
      </c>
      <c r="F26" s="20" t="str">
        <f t="shared" ca="1" si="8"/>
        <v/>
      </c>
      <c r="G26" s="20" t="str">
        <f t="shared" ca="1" si="8"/>
        <v/>
      </c>
      <c r="H26" s="20" t="str">
        <f t="shared" ca="1" si="8"/>
        <v/>
      </c>
      <c r="I26" s="20" t="str">
        <f t="shared" ca="1" si="8"/>
        <v/>
      </c>
      <c r="J26" s="20" t="str">
        <f t="shared" ca="1" si="8"/>
        <v/>
      </c>
      <c r="K26" s="20" t="str">
        <f t="shared" ca="1" si="8"/>
        <v/>
      </c>
    </row>
    <row r="27" spans="2:11" x14ac:dyDescent="0.25">
      <c r="B27" s="1" t="s">
        <v>65</v>
      </c>
      <c r="D27" s="20" t="str">
        <f ca="1">IFERROR(D17/D24,"")</f>
        <v/>
      </c>
      <c r="E27" s="20" t="str">
        <f t="shared" ref="D27:K27" ca="1" si="9">IF(E$5="","",IFERROR(E17/AVERAGE(D24:E24),""))</f>
        <v/>
      </c>
      <c r="F27" s="20" t="str">
        <f t="shared" ca="1" si="9"/>
        <v/>
      </c>
      <c r="G27" s="20" t="str">
        <f t="shared" ca="1" si="9"/>
        <v/>
      </c>
      <c r="H27" s="20" t="str">
        <f t="shared" ca="1" si="9"/>
        <v/>
      </c>
      <c r="I27" s="20" t="str">
        <f t="shared" ca="1" si="9"/>
        <v/>
      </c>
      <c r="J27" s="20" t="str">
        <f t="shared" ca="1" si="9"/>
        <v/>
      </c>
      <c r="K27" s="20" t="str">
        <f t="shared" ca="1" si="9"/>
        <v/>
      </c>
    </row>
    <row r="28" spans="2:11" x14ac:dyDescent="0.25">
      <c r="B28" s="6" t="s">
        <v>66</v>
      </c>
    </row>
    <row r="29" spans="2:11" x14ac:dyDescent="0.25">
      <c r="B29" s="1" t="s">
        <v>67</v>
      </c>
      <c r="D29" s="19" t="str" cm="1">
        <f t="array" aca="1" ref="D29" ca="1">IF(D$5="","",IFERROR(_xlfn.XLOOKUP("6.01",INDEX(_xlfn.ANCHORARRAY(Caixa!$B$5),0,1),INDEX(_xlfn.ANCHORARRAY(Caixa!$B$5),0,COLUMN()-1)),""))</f>
        <v/>
      </c>
      <c r="E29" s="19" t="str" cm="1">
        <f t="array" aca="1" ref="E29" ca="1">IF(E$5="","",IFERROR(_xlfn.XLOOKUP("6.01",INDEX(_xlfn.ANCHORARRAY(Caixa!$B$5),0,1),INDEX(_xlfn.ANCHORARRAY(Caixa!$B$5),0,COLUMN()-1)),""))</f>
        <v/>
      </c>
      <c r="F29" s="19" t="str" cm="1">
        <f t="array" aca="1" ref="F29" ca="1">IF(F$5="","",IFERROR(_xlfn.XLOOKUP("6.01",INDEX(_xlfn.ANCHORARRAY(Caixa!$B$5),0,1),INDEX(_xlfn.ANCHORARRAY(Caixa!$B$5),0,COLUMN()-1)),""))</f>
        <v/>
      </c>
      <c r="G29" s="19" t="str" cm="1">
        <f t="array" aca="1" ref="G29" ca="1">IF(G$5="","",IFERROR(_xlfn.XLOOKUP("6.01",INDEX(_xlfn.ANCHORARRAY(Caixa!$B$5),0,1),INDEX(_xlfn.ANCHORARRAY(Caixa!$B$5),0,COLUMN()-1)),""))</f>
        <v/>
      </c>
      <c r="H29" s="19" t="str" cm="1">
        <f t="array" aca="1" ref="H29" ca="1">IF(H$5="","",IFERROR(_xlfn.XLOOKUP("6.01",INDEX(_xlfn.ANCHORARRAY(Caixa!$B$5),0,1),INDEX(_xlfn.ANCHORARRAY(Caixa!$B$5),0,COLUMN()-1)),""))</f>
        <v/>
      </c>
      <c r="I29" s="19" t="str" cm="1">
        <f t="array" aca="1" ref="I29" ca="1">IF(I$5="","",IFERROR(_xlfn.XLOOKUP("6.01",INDEX(_xlfn.ANCHORARRAY(Caixa!$B$5),0,1),INDEX(_xlfn.ANCHORARRAY(Caixa!$B$5),0,COLUMN()-1)),""))</f>
        <v/>
      </c>
      <c r="J29" s="19" t="str" cm="1">
        <f t="array" aca="1" ref="J29" ca="1">IF(J$5="","",IFERROR(_xlfn.XLOOKUP("6.01",INDEX(_xlfn.ANCHORARRAY(Caixa!$B$5),0,1),INDEX(_xlfn.ANCHORARRAY(Caixa!$B$5),0,COLUMN()-1)),""))</f>
        <v/>
      </c>
      <c r="K29" s="19" t="str" cm="1">
        <f t="array" aca="1" ref="K29" ca="1">IF(K$5="","",IFERROR(_xlfn.XLOOKUP("6.01",INDEX(_xlfn.ANCHORARRAY(Caixa!$B$5),0,1),INDEX(_xlfn.ANCHORARRAY(Caixa!$B$5),0,COLUMN()-1)),""))</f>
        <v/>
      </c>
    </row>
    <row r="30" spans="2:11" x14ac:dyDescent="0.25">
      <c r="B30" s="1" t="s">
        <v>68</v>
      </c>
      <c r="D30" s="19" t="str" cm="1">
        <f t="array" aca="1" ref="D30" ca="1">IF(D$5="","",IFERROR(_xlfn.XLOOKUP("6.02",INDEX(_xlfn.ANCHORARRAY(Caixa!$B$5),0,1),INDEX(_xlfn.ANCHORARRAY(Caixa!$B$5),0,COLUMN()-1)),""))</f>
        <v/>
      </c>
      <c r="E30" s="19" t="str" cm="1">
        <f t="array" aca="1" ref="E30" ca="1">IF(E$5="","",IFERROR(_xlfn.XLOOKUP("6.02",INDEX(_xlfn.ANCHORARRAY(Caixa!$B$5),0,1),INDEX(_xlfn.ANCHORARRAY(Caixa!$B$5),0,COLUMN()-1)),""))</f>
        <v/>
      </c>
      <c r="F30" s="19" t="str" cm="1">
        <f t="array" aca="1" ref="F30" ca="1">IF(F$5="","",IFERROR(_xlfn.XLOOKUP("6.02",INDEX(_xlfn.ANCHORARRAY(Caixa!$B$5),0,1),INDEX(_xlfn.ANCHORARRAY(Caixa!$B$5),0,COLUMN()-1)),""))</f>
        <v/>
      </c>
      <c r="G30" s="19" t="str" cm="1">
        <f t="array" aca="1" ref="G30" ca="1">IF(G$5="","",IFERROR(_xlfn.XLOOKUP("6.02",INDEX(_xlfn.ANCHORARRAY(Caixa!$B$5),0,1),INDEX(_xlfn.ANCHORARRAY(Caixa!$B$5),0,COLUMN()-1)),""))</f>
        <v/>
      </c>
      <c r="H30" s="19" t="str" cm="1">
        <f t="array" aca="1" ref="H30" ca="1">IF(H$5="","",IFERROR(_xlfn.XLOOKUP("6.02",INDEX(_xlfn.ANCHORARRAY(Caixa!$B$5),0,1),INDEX(_xlfn.ANCHORARRAY(Caixa!$B$5),0,COLUMN()-1)),""))</f>
        <v/>
      </c>
      <c r="I30" s="19" t="str" cm="1">
        <f t="array" aca="1" ref="I30" ca="1">IF(I$5="","",IFERROR(_xlfn.XLOOKUP("6.02",INDEX(_xlfn.ANCHORARRAY(Caixa!$B$5),0,1),INDEX(_xlfn.ANCHORARRAY(Caixa!$B$5),0,COLUMN()-1)),""))</f>
        <v/>
      </c>
      <c r="J30" s="19" t="str" cm="1">
        <f t="array" aca="1" ref="J30" ca="1">IF(J$5="","",IFERROR(_xlfn.XLOOKUP("6.02",INDEX(_xlfn.ANCHORARRAY(Caixa!$B$5),0,1),INDEX(_xlfn.ANCHORARRAY(Caixa!$B$5),0,COLUMN()-1)),""))</f>
        <v/>
      </c>
      <c r="K30" s="19" t="str" cm="1">
        <f t="array" aca="1" ref="K30" ca="1">IF(K$5="","",IFERROR(_xlfn.XLOOKUP("6.02",INDEX(_xlfn.ANCHORARRAY(Caixa!$B$5),0,1),INDEX(_xlfn.ANCHORARRAY(Caixa!$B$5),0,COLUMN()-1)),""))</f>
        <v/>
      </c>
    </row>
    <row r="31" spans="2:11" x14ac:dyDescent="0.25">
      <c r="B31" s="1" t="s">
        <v>69</v>
      </c>
      <c r="D31" s="19" t="str" cm="1">
        <f t="array" aca="1" ref="D31" ca="1">IF(D$5="","",IFERROR(_xlfn.XLOOKUP("6.03",INDEX(_xlfn.ANCHORARRAY(Caixa!$B$5),0,1),INDEX(_xlfn.ANCHORARRAY(Caixa!$B$5),0,COLUMN()-1)),""))</f>
        <v/>
      </c>
      <c r="E31" s="19" t="str" cm="1">
        <f t="array" aca="1" ref="E31" ca="1">IF(E$5="","",IFERROR(_xlfn.XLOOKUP("6.03",INDEX(_xlfn.ANCHORARRAY(Caixa!$B$5),0,1),INDEX(_xlfn.ANCHORARRAY(Caixa!$B$5),0,COLUMN()-1)),""))</f>
        <v/>
      </c>
      <c r="F31" s="19" t="str" cm="1">
        <f t="array" aca="1" ref="F31" ca="1">IF(F$5="","",IFERROR(_xlfn.XLOOKUP("6.03",INDEX(_xlfn.ANCHORARRAY(Caixa!$B$5),0,1),INDEX(_xlfn.ANCHORARRAY(Caixa!$B$5),0,COLUMN()-1)),""))</f>
        <v/>
      </c>
      <c r="G31" s="19" t="str" cm="1">
        <f t="array" aca="1" ref="G31" ca="1">IF(G$5="","",IFERROR(_xlfn.XLOOKUP("6.03",INDEX(_xlfn.ANCHORARRAY(Caixa!$B$5),0,1),INDEX(_xlfn.ANCHORARRAY(Caixa!$B$5),0,COLUMN()-1)),""))</f>
        <v/>
      </c>
      <c r="H31" s="19" t="str" cm="1">
        <f t="array" aca="1" ref="H31" ca="1">IF(H$5="","",IFERROR(_xlfn.XLOOKUP("6.03",INDEX(_xlfn.ANCHORARRAY(Caixa!$B$5),0,1),INDEX(_xlfn.ANCHORARRAY(Caixa!$B$5),0,COLUMN()-1)),""))</f>
        <v/>
      </c>
      <c r="I31" s="19" t="str" cm="1">
        <f t="array" aca="1" ref="I31" ca="1">IF(I$5="","",IFERROR(_xlfn.XLOOKUP("6.03",INDEX(_xlfn.ANCHORARRAY(Caixa!$B$5),0,1),INDEX(_xlfn.ANCHORARRAY(Caixa!$B$5),0,COLUMN()-1)),""))</f>
        <v/>
      </c>
      <c r="J31" s="19" t="str" cm="1">
        <f t="array" aca="1" ref="J31" ca="1">IF(J$5="","",IFERROR(_xlfn.XLOOKUP("6.03",INDEX(_xlfn.ANCHORARRAY(Caixa!$B$5),0,1),INDEX(_xlfn.ANCHORARRAY(Caixa!$B$5),0,COLUMN()-1)),""))</f>
        <v/>
      </c>
      <c r="K31" s="19" t="str" cm="1">
        <f t="array" aca="1" ref="K31" ca="1">IF(K$5="","",IFERROR(_xlfn.XLOOKUP("6.03",INDEX(_xlfn.ANCHORARRAY(Caixa!$B$5),0,1),INDEX(_xlfn.ANCHORARRAY(Caixa!$B$5),0,COLUMN()-1)),""))</f>
        <v/>
      </c>
    </row>
    <row r="32" spans="2:11" x14ac:dyDescent="0.25">
      <c r="B32" s="1" t="s">
        <v>70</v>
      </c>
      <c r="D32" s="21" t="str">
        <f t="shared" ref="D32:K32" ca="1" si="10">IF(D$5="","",IFERROR(D29+D30,""))</f>
        <v/>
      </c>
      <c r="E32" s="21" t="str">
        <f t="shared" ca="1" si="10"/>
        <v/>
      </c>
      <c r="F32" s="21" t="str">
        <f t="shared" ca="1" si="10"/>
        <v/>
      </c>
      <c r="G32" s="21" t="str">
        <f t="shared" ca="1" si="10"/>
        <v/>
      </c>
      <c r="H32" s="21" t="str">
        <f t="shared" ca="1" si="10"/>
        <v/>
      </c>
      <c r="I32" s="21" t="str">
        <f t="shared" ca="1" si="10"/>
        <v/>
      </c>
      <c r="J32" s="21" t="str">
        <f t="shared" ca="1" si="10"/>
        <v/>
      </c>
      <c r="K32" s="21" t="str">
        <f t="shared" ca="1" si="10"/>
        <v/>
      </c>
    </row>
    <row r="33" spans="2:11" x14ac:dyDescent="0.25">
      <c r="B33" s="1" t="s">
        <v>71</v>
      </c>
      <c r="D33" s="20" t="str">
        <f t="shared" ref="D33:K33" ca="1" si="11">IF(D$5="","",IFERROR(D29/D14,""))</f>
        <v/>
      </c>
      <c r="E33" s="20" t="str">
        <f t="shared" ca="1" si="11"/>
        <v/>
      </c>
      <c r="F33" s="20" t="str">
        <f t="shared" ca="1" si="11"/>
        <v/>
      </c>
      <c r="G33" s="20" t="str">
        <f t="shared" ca="1" si="11"/>
        <v/>
      </c>
      <c r="H33" s="20" t="str">
        <f t="shared" ca="1" si="11"/>
        <v/>
      </c>
      <c r="I33" s="20" t="str">
        <f t="shared" ca="1" si="11"/>
        <v/>
      </c>
      <c r="J33" s="20" t="str">
        <f t="shared" ca="1" si="11"/>
        <v/>
      </c>
      <c r="K33" s="20" t="str">
        <f t="shared" ca="1" si="11"/>
        <v/>
      </c>
    </row>
    <row r="35" spans="2:11" x14ac:dyDescent="0.25">
      <c r="B35" s="8" t="s">
        <v>72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EEBE7-581B-4B11-A56D-B898962D4A3F}">
  <dimension ref="A1:L21"/>
  <sheetViews>
    <sheetView showGridLines="0" workbookViewId="0"/>
  </sheetViews>
  <sheetFormatPr defaultRowHeight="14.25" x14ac:dyDescent="0.25"/>
  <cols>
    <col min="1" max="1" width="2.7109375" style="1" customWidth="1"/>
    <col min="2" max="2" width="40.7109375" style="1" customWidth="1"/>
    <col min="3" max="3" width="2.7109375" style="1" customWidth="1"/>
    <col min="4" max="4" width="16.7109375" style="1" customWidth="1"/>
    <col min="5" max="16384" width="9.140625" style="1"/>
  </cols>
  <sheetData>
    <row r="1" spans="1:12" ht="24" customHeight="1" x14ac:dyDescent="0.35">
      <c r="A1" s="2"/>
      <c r="B1" s="3" t="s">
        <v>0</v>
      </c>
      <c r="C1" s="4" t="s">
        <v>73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74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6" t="s">
        <v>75</v>
      </c>
    </row>
    <row r="5" spans="1:12" x14ac:dyDescent="0.25">
      <c r="B5" s="1" t="s">
        <v>37</v>
      </c>
      <c r="D5" s="13" t="str">
        <f ca="1">Mercado!$D$5</f>
        <v/>
      </c>
    </row>
    <row r="6" spans="1:12" x14ac:dyDescent="0.25">
      <c r="B6" s="1" t="s">
        <v>76</v>
      </c>
      <c r="D6" s="19" t="str">
        <f ca="1">IFERROR(INDEX(_xlfn.ANCHORARRAY(Mercado!$B$9),2,MATCH("market_cap",INDEX(_xlfn.ANCHORARRAY(Mercado!$B$9),1,0),0))/1000000,"")</f>
        <v/>
      </c>
    </row>
    <row r="7" spans="1:12" x14ac:dyDescent="0.25">
      <c r="B7" s="1" t="s">
        <v>77</v>
      </c>
      <c r="D7" s="23" t="str">
        <f ca="1">IFERROR(INDEX(_xlfn.ANCHORARRAY(Mercado!$B$9),2,MATCH("price_to_earnings",INDEX(_xlfn.ANCHORARRAY(Mercado!$B$9),1,0),0)),"")</f>
        <v/>
      </c>
    </row>
    <row r="8" spans="1:12" x14ac:dyDescent="0.25">
      <c r="B8" s="1" t="s">
        <v>78</v>
      </c>
      <c r="D8" s="23" t="str">
        <f ca="1">IFERROR(INDEX(_xlfn.ANCHORARRAY(Mercado!$B$9),2,MATCH("price_to_book",INDEX(_xlfn.ANCHORARRAY(Mercado!$B$9),1,0),0)),"")</f>
        <v/>
      </c>
    </row>
    <row r="9" spans="1:12" x14ac:dyDescent="0.25">
      <c r="B9" s="1" t="s">
        <v>79</v>
      </c>
      <c r="D9" s="24" t="str">
        <f ca="1">IFERROR(INDEX(_xlfn.ANCHORARRAY(Mercado!$B$9),2,MATCH("dividend_yield",INDEX(_xlfn.ANCHORARRAY(Mercado!$B$9),1,0),0)),"")</f>
        <v/>
      </c>
    </row>
    <row r="10" spans="1:12" x14ac:dyDescent="0.25">
      <c r="B10" s="1" t="s">
        <v>80</v>
      </c>
      <c r="D10" s="25" t="str">
        <f ca="1">IFERROR(INDEX(_xlfn.ANCHORARRAY(Mercado!$B$9),2,MATCH("beta",INDEX(_xlfn.ANCHORARRAY(Mercado!$B$9),1,0),0)),"")</f>
        <v/>
      </c>
    </row>
    <row r="12" spans="1:12" x14ac:dyDescent="0.25">
      <c r="B12" s="6" t="s">
        <v>81</v>
      </c>
    </row>
    <row r="13" spans="1:12" x14ac:dyDescent="0.25">
      <c r="B13" s="1" t="s">
        <v>82</v>
      </c>
      <c r="D13" s="26" t="str" cm="1">
        <f t="array" aca="1" ref="D13" ca="1">IFERROR(LOOKUP(2,1/(Analise!$D$5:$K$5&lt;&gt;""),Analise!$D$5:$K$5),"")</f>
        <v/>
      </c>
    </row>
    <row r="14" spans="1:12" x14ac:dyDescent="0.25">
      <c r="B14" s="1" t="s">
        <v>83</v>
      </c>
      <c r="D14" s="21" t="str" cm="1">
        <f t="array" aca="1" ref="D14" ca="1">IFERROR(LOOKUP(2,1/(Analise!$D$5:$K$5&lt;&gt;""),Analise!$D$23:$K$23),"")</f>
        <v/>
      </c>
    </row>
    <row r="15" spans="1:12" x14ac:dyDescent="0.25">
      <c r="B15" s="1" t="s">
        <v>84</v>
      </c>
      <c r="D15" s="21" t="str">
        <f ca="1">IFERROR(D6+D14,"")</f>
        <v/>
      </c>
    </row>
    <row r="16" spans="1:12" x14ac:dyDescent="0.25">
      <c r="B16" s="1" t="s">
        <v>85</v>
      </c>
      <c r="D16" s="22" t="str" cm="1">
        <f t="array" aca="1" ref="D16" ca="1">IFERROR(D15/LOOKUP(2,1/(Analise!$D$5:$K$5&lt;&gt;""),Analise!$D$14:$K$14),"")</f>
        <v/>
      </c>
    </row>
    <row r="17" spans="2:4" x14ac:dyDescent="0.25">
      <c r="B17" s="1" t="s">
        <v>86</v>
      </c>
      <c r="D17" s="22" t="str" cm="1">
        <f t="array" aca="1" ref="D17" ca="1">IFERROR(D15/LOOKUP(2,1/(Analise!$D$5:$K$5&lt;&gt;""),Analise!$D$11:$K$11),"")</f>
        <v/>
      </c>
    </row>
    <row r="18" spans="2:4" x14ac:dyDescent="0.25">
      <c r="B18" s="1" t="s">
        <v>87</v>
      </c>
      <c r="D18" s="22" t="str" cm="1">
        <f t="array" aca="1" ref="D18" ca="1">IFERROR(D6/LOOKUP(2,1/(Analise!$D$5:$K$5&lt;&gt;""),Analise!$D$17:$K$17),"")</f>
        <v/>
      </c>
    </row>
    <row r="19" spans="2:4" x14ac:dyDescent="0.25">
      <c r="B19" s="1" t="s">
        <v>88</v>
      </c>
      <c r="D19" s="22" t="str" cm="1">
        <f t="array" aca="1" ref="D19" ca="1">IFERROR(D6/LOOKUP(2,1/(Analise!$D$5:$K$5&lt;&gt;""),Analise!$D$29:$K$29),"")</f>
        <v/>
      </c>
    </row>
    <row r="21" spans="2:4" x14ac:dyDescent="0.25">
      <c r="B21" s="8" t="s">
        <v>89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0FD0B-4C45-4F3B-94CE-1AEBA11BE5FB}">
  <dimension ref="A1:L5"/>
  <sheetViews>
    <sheetView showGridLines="0" workbookViewId="0"/>
  </sheetViews>
  <sheetFormatPr defaultRowHeight="14.25" x14ac:dyDescent="0.25"/>
  <cols>
    <col min="1" max="1" width="2.7109375" style="1" customWidth="1"/>
    <col min="2" max="2" width="14.7109375" style="1" customWidth="1"/>
    <col min="3" max="3" width="46.7109375" style="1" customWidth="1"/>
    <col min="4" max="12" width="16.7109375" style="12" customWidth="1"/>
    <col min="13" max="16384" width="9.140625" style="1"/>
  </cols>
  <sheetData>
    <row r="1" spans="1:12" ht="24" customHeight="1" x14ac:dyDescent="0.35">
      <c r="A1" s="2"/>
      <c r="B1" s="3" t="s">
        <v>0</v>
      </c>
      <c r="C1" s="4" t="s">
        <v>26</v>
      </c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2"/>
      <c r="B2" s="2"/>
      <c r="C2" s="5" t="s">
        <v>27</v>
      </c>
      <c r="D2" s="11"/>
      <c r="E2" s="11"/>
      <c r="F2" s="11"/>
      <c r="G2" s="11"/>
      <c r="H2" s="11"/>
      <c r="I2" s="11"/>
      <c r="J2" s="11"/>
      <c r="K2" s="11"/>
      <c r="L2" s="11"/>
    </row>
    <row r="4" spans="1:12" x14ac:dyDescent="0.25">
      <c r="B4" s="8" t="s">
        <v>28</v>
      </c>
    </row>
    <row r="5" spans="1:12" x14ac:dyDescent="0.25">
      <c r="B5" s="9" t="e" cm="1">
        <f t="array" aca="1" ref="B5" ca="1">Fintay_Demonstrativos(Inicio!$D$6,1,4,Inicio!$D$7,1,,,"",3)</f>
        <v>#NAME?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76138-AD07-4243-9C30-AA8CA5EB9C69}">
  <dimension ref="A1:L5"/>
  <sheetViews>
    <sheetView showGridLines="0" workbookViewId="0"/>
  </sheetViews>
  <sheetFormatPr defaultRowHeight="14.25" x14ac:dyDescent="0.25"/>
  <cols>
    <col min="1" max="1" width="2.7109375" style="1" customWidth="1"/>
    <col min="2" max="2" width="14.7109375" style="1" customWidth="1"/>
    <col min="3" max="3" width="46.7109375" style="1" customWidth="1"/>
    <col min="4" max="12" width="16.7109375" style="12" customWidth="1"/>
    <col min="13" max="16384" width="9.140625" style="1"/>
  </cols>
  <sheetData>
    <row r="1" spans="1:12" ht="24" customHeight="1" x14ac:dyDescent="0.35">
      <c r="A1" s="2"/>
      <c r="B1" s="3" t="s">
        <v>0</v>
      </c>
      <c r="C1" s="4" t="s">
        <v>29</v>
      </c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2"/>
      <c r="B2" s="2"/>
      <c r="C2" s="5" t="s">
        <v>30</v>
      </c>
      <c r="D2" s="11"/>
      <c r="E2" s="11"/>
      <c r="F2" s="11"/>
      <c r="G2" s="11"/>
      <c r="H2" s="11"/>
      <c r="I2" s="11"/>
      <c r="J2" s="11"/>
      <c r="K2" s="11"/>
      <c r="L2" s="11"/>
    </row>
    <row r="4" spans="1:12" x14ac:dyDescent="0.25">
      <c r="B4" s="8" t="s">
        <v>28</v>
      </c>
    </row>
    <row r="5" spans="1:12" x14ac:dyDescent="0.25">
      <c r="B5" s="9" t="e" cm="1">
        <f t="array" aca="1" ref="B5" ca="1">Fintay_Demonstrativos(Inicio!$D$6,2,4,Inicio!$D$7,1,,,"",3)</f>
        <v>#NAME?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742F2-F9E0-4C8C-8691-3A718473518E}">
  <dimension ref="A1:L5"/>
  <sheetViews>
    <sheetView showGridLines="0" workbookViewId="0"/>
  </sheetViews>
  <sheetFormatPr defaultRowHeight="14.25" x14ac:dyDescent="0.25"/>
  <cols>
    <col min="1" max="1" width="2.7109375" style="1" customWidth="1"/>
    <col min="2" max="2" width="14.7109375" style="1" customWidth="1"/>
    <col min="3" max="3" width="46.7109375" style="1" customWidth="1"/>
    <col min="4" max="12" width="16.7109375" style="12" customWidth="1"/>
    <col min="13" max="16384" width="9.140625" style="1"/>
  </cols>
  <sheetData>
    <row r="1" spans="1:12" ht="24" customHeight="1" x14ac:dyDescent="0.35">
      <c r="A1" s="2"/>
      <c r="B1" s="3" t="s">
        <v>0</v>
      </c>
      <c r="C1" s="4" t="s">
        <v>31</v>
      </c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2"/>
      <c r="B2" s="2"/>
      <c r="C2" s="5" t="s">
        <v>30</v>
      </c>
      <c r="D2" s="11"/>
      <c r="E2" s="11"/>
      <c r="F2" s="11"/>
      <c r="G2" s="11"/>
      <c r="H2" s="11"/>
      <c r="I2" s="11"/>
      <c r="J2" s="11"/>
      <c r="K2" s="11"/>
      <c r="L2" s="11"/>
    </row>
    <row r="4" spans="1:12" x14ac:dyDescent="0.25">
      <c r="B4" s="8" t="s">
        <v>28</v>
      </c>
    </row>
    <row r="5" spans="1:12" x14ac:dyDescent="0.25">
      <c r="B5" s="9" t="e" cm="1">
        <f t="array" aca="1" ref="B5" ca="1">Fintay_Demonstrativos(Inicio!$D$6,3,4,Inicio!$D$7,1,,,"",3)</f>
        <v>#NAME?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86DE4-8470-42D8-9075-401200462C6F}">
  <dimension ref="A1:L5"/>
  <sheetViews>
    <sheetView showGridLines="0" workbookViewId="0"/>
  </sheetViews>
  <sheetFormatPr defaultRowHeight="14.25" x14ac:dyDescent="0.25"/>
  <cols>
    <col min="1" max="1" width="2.7109375" style="1" customWidth="1"/>
    <col min="2" max="2" width="14.7109375" style="1" customWidth="1"/>
    <col min="3" max="3" width="46.7109375" style="1" customWidth="1"/>
    <col min="4" max="12" width="16.7109375" style="12" customWidth="1"/>
    <col min="13" max="16384" width="9.140625" style="1"/>
  </cols>
  <sheetData>
    <row r="1" spans="1:12" ht="24" customHeight="1" x14ac:dyDescent="0.35">
      <c r="A1" s="2"/>
      <c r="B1" s="3" t="s">
        <v>0</v>
      </c>
      <c r="C1" s="4" t="s">
        <v>32</v>
      </c>
      <c r="D1" s="11"/>
      <c r="E1" s="11"/>
      <c r="F1" s="11"/>
      <c r="G1" s="11"/>
      <c r="H1" s="11"/>
      <c r="I1" s="11"/>
      <c r="J1" s="11"/>
      <c r="K1" s="11"/>
      <c r="L1" s="11"/>
    </row>
    <row r="2" spans="1:12" x14ac:dyDescent="0.25">
      <c r="A2" s="2"/>
      <c r="B2" s="2"/>
      <c r="C2" s="5" t="s">
        <v>33</v>
      </c>
      <c r="D2" s="11"/>
      <c r="E2" s="11"/>
      <c r="F2" s="11"/>
      <c r="G2" s="11"/>
      <c r="H2" s="11"/>
      <c r="I2" s="11"/>
      <c r="J2" s="11"/>
      <c r="K2" s="11"/>
      <c r="L2" s="11"/>
    </row>
    <row r="4" spans="1:12" x14ac:dyDescent="0.25">
      <c r="B4" s="8" t="s">
        <v>28</v>
      </c>
    </row>
    <row r="5" spans="1:12" x14ac:dyDescent="0.25">
      <c r="B5" s="9" t="e" cm="1">
        <f t="array" aca="1" ref="B5" ca="1">Fintay_Demonstrativos(Inicio!$D$6,4,4,Inicio!$D$7,1,,,"",3)</f>
        <v>#NAME?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EB1A4-D62C-4200-B796-D3B9AA61F2D5}">
  <dimension ref="A1:L13"/>
  <sheetViews>
    <sheetView showGridLines="0" workbookViewId="0"/>
  </sheetViews>
  <sheetFormatPr defaultRowHeight="14.25" x14ac:dyDescent="0.25"/>
  <cols>
    <col min="1" max="1" width="2.7109375" style="1" customWidth="1"/>
    <col min="2" max="16" width="15.7109375" style="1" customWidth="1"/>
    <col min="17" max="16384" width="9.140625" style="1"/>
  </cols>
  <sheetData>
    <row r="1" spans="1:12" ht="24" customHeight="1" x14ac:dyDescent="0.35">
      <c r="A1" s="2"/>
      <c r="B1" s="3" t="s">
        <v>0</v>
      </c>
      <c r="C1" s="4" t="s">
        <v>34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2"/>
      <c r="B2" s="2"/>
      <c r="C2" s="5" t="s">
        <v>35</v>
      </c>
      <c r="D2" s="2"/>
      <c r="E2" s="2"/>
      <c r="F2" s="2"/>
      <c r="G2" s="2"/>
      <c r="H2" s="2"/>
      <c r="I2" s="2"/>
      <c r="J2" s="2"/>
      <c r="K2" s="2"/>
      <c r="L2" s="2"/>
    </row>
    <row r="4" spans="1:12" x14ac:dyDescent="0.25">
      <c r="B4" s="8" t="s">
        <v>36</v>
      </c>
    </row>
    <row r="5" spans="1:12" x14ac:dyDescent="0.25">
      <c r="B5" s="1" t="s">
        <v>37</v>
      </c>
      <c r="D5" s="13" t="str">
        <f ca="1">IFERROR(INDEX(_xlfn.TAKE(Fintay_B3(Inicio!$D$6,TODAY()-20),-1),1,2),"")</f>
        <v/>
      </c>
    </row>
    <row r="6" spans="1:12" x14ac:dyDescent="0.25">
      <c r="B6" s="1" t="s">
        <v>38</v>
      </c>
      <c r="D6" s="14" t="str">
        <f ca="1">IFERROR(INDEX(_xlfn.TAKE(Fintay_B3(Inicio!$D$6,TODAY()-20),-1),1,1),"")</f>
        <v/>
      </c>
    </row>
    <row r="8" spans="1:12" x14ac:dyDescent="0.25">
      <c r="B8" s="6" t="s">
        <v>39</v>
      </c>
    </row>
    <row r="9" spans="1:12" x14ac:dyDescent="0.25">
      <c r="B9" s="9" t="e" cm="1">
        <f t="array" aca="1" ref="B9" ca="1">Fintay_B3_Fundamentos_Completos(Inicio!$D$6,1,"snapshot_date,market_cap,enterprise_value,total_revenue,ebitda,net_income_to_common,total_cash,total_debt,price_to_earnings,price_to_book,dividend_yield,return_on_equity,beta")</f>
        <v>#NAME?</v>
      </c>
    </row>
    <row r="12" spans="1:12" x14ac:dyDescent="0.25">
      <c r="B12" s="6" t="s">
        <v>40</v>
      </c>
    </row>
    <row r="13" spans="1:12" x14ac:dyDescent="0.25">
      <c r="B13" s="9" t="e" cm="1">
        <f t="array" aca="1" ref="B13" ca="1">Fintay_B3_Perfil(Inicio!$D$6)</f>
        <v>#NAME?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Inicio</vt:lpstr>
      <vt:lpstr>Analise</vt:lpstr>
      <vt:lpstr>Multiplos</vt:lpstr>
      <vt:lpstr>DRE</vt:lpstr>
      <vt:lpstr>Ativo</vt:lpstr>
      <vt:lpstr>Passivo</vt:lpstr>
      <vt:lpstr>Caixa</vt:lpstr>
      <vt:lpstr>Mercado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Rodrigues de Souza Simões</dc:creator>
  <cp:lastModifiedBy>Thiago Rodrigues de Souza Simões</cp:lastModifiedBy>
  <dcterms:created xsi:type="dcterms:W3CDTF">2026-10-15T15:14:05Z</dcterms:created>
  <dcterms:modified xsi:type="dcterms:W3CDTF">2026-10-15T15:14:11Z</dcterms:modified>
</cp:coreProperties>
</file>